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E:\EXT\WV\"/>
    </mc:Choice>
  </mc:AlternateContent>
  <bookViews>
    <workbookView xWindow="0" yWindow="1485" windowWidth="15360" windowHeight="9000" activeTab="1"/>
  </bookViews>
  <sheets>
    <sheet name="Titelblatt" sheetId="11" r:id="rId1"/>
    <sheet name="Grafik" sheetId="2" r:id="rId2"/>
    <sheet name="Anlagen" sheetId="5" state="hidden" r:id="rId3"/>
    <sheet name="kW_el" sheetId="8" state="hidden" r:id="rId4"/>
    <sheet name="kW je Anlage" sheetId="9" state="hidden" r:id="rId5"/>
    <sheet name="Mais" sheetId="12" state="hidden" r:id="rId6"/>
  </sheets>
  <externalReferences>
    <externalReference r:id="rId7"/>
  </externalReferences>
  <definedNames>
    <definedName name="Bild" localSheetId="0">bild614</definedName>
    <definedName name="Bild">IF([1]Vergleich!$G$3="",[1]Gebietsliste!$IU$2,INDEX([1]Gebietsliste!$D$1:$D$65536,MATCH([1]Vergleich!$G$3,[1]Gebietsliste!$A$1:$A$65536,0)))</definedName>
    <definedName name="Bild2">IF([1]Vergleich!$H$3="",[1]Gebietsliste!$IU$2,INDEX([1]Gebietsliste!$F$1:$F$65536,MATCH([1]Vergleich!$H$3,[1]Gebietsliste!$A$1:$A$65536,0)))</definedName>
    <definedName name="Bild3">IF([1]Vergleich!$I$3="",[1]Gebietsliste!$IU$2,INDEX([1]Gebietsliste!$H$1:$H$65536,MATCH([1]Vergleich!$I$3,[1]Gebietsliste!$A$1:$A$65536,0)))</definedName>
    <definedName name="Bild4">IF([1]Vergleich!$J$3="",[1]Gebietsliste!$IU$2,INDEX([1]Gebietsliste!$J$1:$J$65536,MATCH([1]Vergleich!$J$3,[1]Gebietsliste!$A$1:$A$65536,0)))</definedName>
    <definedName name="_xlnm.Print_Area" localSheetId="1">Grafik!$B$2:$J$36</definedName>
    <definedName name="_xlnm.Print_Area" localSheetId="0">Titelblatt!$A$1:$B$36</definedName>
  </definedNames>
  <calcPr calcId="162913" fullCalcOnLoad="1"/>
</workbook>
</file>

<file path=xl/calcChain.xml><?xml version="1.0" encoding="utf-8"?>
<calcChain xmlns="http://schemas.openxmlformats.org/spreadsheetml/2006/main">
  <c r="K39" i="5" l="1"/>
  <c r="I39" i="5"/>
  <c r="J39" i="5"/>
  <c r="E39" i="5"/>
  <c r="F39" i="5"/>
  <c r="G39" i="5"/>
  <c r="H39" i="5"/>
  <c r="D39" i="5"/>
  <c r="B36" i="2"/>
  <c r="J36" i="2"/>
  <c r="J39" i="12"/>
  <c r="I36" i="2"/>
  <c r="H36" i="2"/>
  <c r="G36" i="2"/>
  <c r="E36" i="2"/>
  <c r="D36" i="2"/>
  <c r="C36" i="2"/>
  <c r="B32" i="2"/>
  <c r="B3" i="2"/>
  <c r="B35" i="2"/>
  <c r="B33" i="2"/>
  <c r="B34" i="2"/>
  <c r="K39" i="8"/>
  <c r="J33" i="2"/>
  <c r="J39" i="8"/>
  <c r="I33" i="2"/>
  <c r="I39" i="8"/>
  <c r="H33" i="2"/>
  <c r="H39" i="8"/>
  <c r="G33" i="2"/>
  <c r="G39" i="8"/>
  <c r="F33" i="2"/>
  <c r="E39" i="8"/>
  <c r="D33" i="2"/>
  <c r="J34" i="2"/>
  <c r="D39" i="8"/>
  <c r="C33" i="2"/>
  <c r="C34" i="2"/>
  <c r="I34" i="2"/>
  <c r="H34" i="2"/>
  <c r="G34" i="2"/>
  <c r="F34" i="2"/>
  <c r="E34" i="2"/>
  <c r="D34" i="2"/>
  <c r="F39" i="8"/>
  <c r="E33" i="2"/>
  <c r="G39" i="12"/>
  <c r="F36" i="2"/>
  <c r="J39" i="9"/>
  <c r="J11" i="9"/>
  <c r="I35" i="2"/>
  <c r="I39" i="9"/>
  <c r="I11" i="9"/>
  <c r="H35" i="2"/>
  <c r="H39" i="9"/>
  <c r="H11" i="9"/>
  <c r="G35" i="2"/>
  <c r="G39" i="9"/>
  <c r="G11" i="9"/>
  <c r="F35" i="2"/>
  <c r="D39" i="9"/>
  <c r="D11" i="9"/>
  <c r="C35" i="2"/>
  <c r="E39" i="9"/>
  <c r="E11" i="9"/>
  <c r="D35" i="2"/>
  <c r="F39" i="9"/>
  <c r="F11" i="9"/>
  <c r="E35" i="2"/>
  <c r="K39" i="9"/>
  <c r="K11" i="9"/>
  <c r="J35" i="2"/>
  <c r="F41" i="9"/>
  <c r="E29" i="9"/>
  <c r="E30" i="9"/>
  <c r="E31" i="9"/>
  <c r="E32" i="9"/>
  <c r="E33" i="9"/>
  <c r="E34" i="9"/>
  <c r="E35" i="9"/>
  <c r="E36" i="9"/>
  <c r="E37" i="9"/>
  <c r="E38" i="9"/>
  <c r="E10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4" i="9"/>
  <c r="E5" i="9"/>
  <c r="E6" i="9"/>
  <c r="E7" i="9"/>
  <c r="E8" i="9"/>
  <c r="E9" i="9"/>
  <c r="E3" i="9"/>
  <c r="I4" i="9"/>
  <c r="I5" i="9"/>
  <c r="I6" i="9"/>
  <c r="I7" i="9"/>
  <c r="I8" i="9"/>
  <c r="I9" i="9"/>
  <c r="I10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" i="9"/>
  <c r="F4" i="9"/>
  <c r="G4" i="9"/>
  <c r="H4" i="9"/>
  <c r="J4" i="9"/>
  <c r="K4" i="9"/>
  <c r="F5" i="9"/>
  <c r="G5" i="9"/>
  <c r="H5" i="9"/>
  <c r="J5" i="9"/>
  <c r="K5" i="9"/>
  <c r="F6" i="9"/>
  <c r="G6" i="9"/>
  <c r="H6" i="9"/>
  <c r="J6" i="9"/>
  <c r="K6" i="9"/>
  <c r="F7" i="9"/>
  <c r="G7" i="9"/>
  <c r="H7" i="9"/>
  <c r="J7" i="9"/>
  <c r="K7" i="9"/>
  <c r="F8" i="9"/>
  <c r="G8" i="9"/>
  <c r="H8" i="9"/>
  <c r="J8" i="9"/>
  <c r="K8" i="9"/>
  <c r="F9" i="9"/>
  <c r="G9" i="9"/>
  <c r="H9" i="9"/>
  <c r="J9" i="9"/>
  <c r="K9" i="9"/>
  <c r="F10" i="9"/>
  <c r="G10" i="9"/>
  <c r="H10" i="9"/>
  <c r="J10" i="9"/>
  <c r="K10" i="9"/>
  <c r="F12" i="9"/>
  <c r="G12" i="9"/>
  <c r="H12" i="9"/>
  <c r="J12" i="9"/>
  <c r="K12" i="9"/>
  <c r="F13" i="9"/>
  <c r="G13" i="9"/>
  <c r="H13" i="9"/>
  <c r="J13" i="9"/>
  <c r="K13" i="9"/>
  <c r="F14" i="9"/>
  <c r="G14" i="9"/>
  <c r="H14" i="9"/>
  <c r="J14" i="9"/>
  <c r="K14" i="9"/>
  <c r="F15" i="9"/>
  <c r="G15" i="9"/>
  <c r="H15" i="9"/>
  <c r="J15" i="9"/>
  <c r="K15" i="9"/>
  <c r="F16" i="9"/>
  <c r="G16" i="9"/>
  <c r="H16" i="9"/>
  <c r="J16" i="9"/>
  <c r="K16" i="9"/>
  <c r="F17" i="9"/>
  <c r="G17" i="9"/>
  <c r="H17" i="9"/>
  <c r="J17" i="9"/>
  <c r="K17" i="9"/>
  <c r="F18" i="9"/>
  <c r="G18" i="9"/>
  <c r="H18" i="9"/>
  <c r="J18" i="9"/>
  <c r="K18" i="9"/>
  <c r="F19" i="9"/>
  <c r="G19" i="9"/>
  <c r="H19" i="9"/>
  <c r="J19" i="9"/>
  <c r="K19" i="9"/>
  <c r="F20" i="9"/>
  <c r="G20" i="9"/>
  <c r="H20" i="9"/>
  <c r="J20" i="9"/>
  <c r="K20" i="9"/>
  <c r="F21" i="9"/>
  <c r="G21" i="9"/>
  <c r="H21" i="9"/>
  <c r="J21" i="9"/>
  <c r="K21" i="9"/>
  <c r="F22" i="9"/>
  <c r="G22" i="9"/>
  <c r="H22" i="9"/>
  <c r="J22" i="9"/>
  <c r="K22" i="9"/>
  <c r="F23" i="9"/>
  <c r="G23" i="9"/>
  <c r="H23" i="9"/>
  <c r="J23" i="9"/>
  <c r="K23" i="9"/>
  <c r="F24" i="9"/>
  <c r="G24" i="9"/>
  <c r="H24" i="9"/>
  <c r="J24" i="9"/>
  <c r="K24" i="9"/>
  <c r="F25" i="9"/>
  <c r="G25" i="9"/>
  <c r="H25" i="9"/>
  <c r="J25" i="9"/>
  <c r="K25" i="9"/>
  <c r="F26" i="9"/>
  <c r="G26" i="9"/>
  <c r="H26" i="9"/>
  <c r="J26" i="9"/>
  <c r="K26" i="9"/>
  <c r="F27" i="9"/>
  <c r="G27" i="9"/>
  <c r="H27" i="9"/>
  <c r="J27" i="9"/>
  <c r="K27" i="9"/>
  <c r="F28" i="9"/>
  <c r="G28" i="9"/>
  <c r="H28" i="9"/>
  <c r="J28" i="9"/>
  <c r="K28" i="9"/>
  <c r="F29" i="9"/>
  <c r="G29" i="9"/>
  <c r="H29" i="9"/>
  <c r="J29" i="9"/>
  <c r="K29" i="9"/>
  <c r="F30" i="9"/>
  <c r="G30" i="9"/>
  <c r="H30" i="9"/>
  <c r="J30" i="9"/>
  <c r="K30" i="9"/>
  <c r="F31" i="9"/>
  <c r="G31" i="9"/>
  <c r="H31" i="9"/>
  <c r="J31" i="9"/>
  <c r="K31" i="9"/>
  <c r="F32" i="9"/>
  <c r="G32" i="9"/>
  <c r="H32" i="9"/>
  <c r="J32" i="9"/>
  <c r="K32" i="9"/>
  <c r="F33" i="9"/>
  <c r="G33" i="9"/>
  <c r="H33" i="9"/>
  <c r="J33" i="9"/>
  <c r="K33" i="9"/>
  <c r="F34" i="9"/>
  <c r="G34" i="9"/>
  <c r="H34" i="9"/>
  <c r="J34" i="9"/>
  <c r="K34" i="9"/>
  <c r="F35" i="9"/>
  <c r="G35" i="9"/>
  <c r="H35" i="9"/>
  <c r="J35" i="9"/>
  <c r="K35" i="9"/>
  <c r="F36" i="9"/>
  <c r="G36" i="9"/>
  <c r="H36" i="9"/>
  <c r="J36" i="9"/>
  <c r="K36" i="9"/>
  <c r="F37" i="9"/>
  <c r="G37" i="9"/>
  <c r="H37" i="9"/>
  <c r="J37" i="9"/>
  <c r="K37" i="9"/>
  <c r="F38" i="9"/>
  <c r="G38" i="9"/>
  <c r="H38" i="9"/>
  <c r="J38" i="9"/>
  <c r="K38" i="9"/>
  <c r="F3" i="9"/>
  <c r="G3" i="9"/>
  <c r="H3" i="9"/>
  <c r="J3" i="9"/>
  <c r="K3" i="9"/>
  <c r="D8" i="9"/>
  <c r="D9" i="9"/>
  <c r="D10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" i="9"/>
  <c r="D4" i="9"/>
  <c r="D5" i="9"/>
  <c r="D6" i="9"/>
  <c r="D7" i="9"/>
  <c r="F41" i="8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5" i="12"/>
  <c r="J24" i="12"/>
  <c r="J23" i="12"/>
  <c r="J22" i="12"/>
  <c r="J20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</calcChain>
</file>

<file path=xl/sharedStrings.xml><?xml version="1.0" encoding="utf-8"?>
<sst xmlns="http://schemas.openxmlformats.org/spreadsheetml/2006/main" count="179" uniqueCount="58">
  <si>
    <t>Schwarzwald Baar</t>
  </si>
  <si>
    <t>Emmendingen</t>
  </si>
  <si>
    <t>Breisgau-Hochschwarzwald</t>
  </si>
  <si>
    <t>Ortenaukreis</t>
  </si>
  <si>
    <t>Rottweil</t>
  </si>
  <si>
    <t>Konstanz</t>
  </si>
  <si>
    <t>Tuttlingen</t>
  </si>
  <si>
    <t>Waldshut</t>
  </si>
  <si>
    <t>Zollernalbkreis</t>
  </si>
  <si>
    <t>Biberach</t>
  </si>
  <si>
    <t>Bodenseekreis</t>
  </si>
  <si>
    <t>Reutlingen</t>
  </si>
  <si>
    <t>Ravensburg</t>
  </si>
  <si>
    <t>Tübingen</t>
  </si>
  <si>
    <t>Sigmaringen</t>
  </si>
  <si>
    <t>Alb-Donau</t>
  </si>
  <si>
    <t>Rems-Murr-Kreis</t>
  </si>
  <si>
    <t>Ostalbkreis</t>
  </si>
  <si>
    <t>Göppingen</t>
  </si>
  <si>
    <t>Heidenheim</t>
  </si>
  <si>
    <t>Heilbronn</t>
  </si>
  <si>
    <t>Böblingen</t>
  </si>
  <si>
    <t>Schwäbisch Hall</t>
  </si>
  <si>
    <t>Stuttgart</t>
  </si>
  <si>
    <t>Ludwigsburg</t>
  </si>
  <si>
    <t>Esslingen</t>
  </si>
  <si>
    <t>Hohenlohekreis</t>
  </si>
  <si>
    <t>Neckar-Odenwald</t>
  </si>
  <si>
    <t>Karlsruhe</t>
  </si>
  <si>
    <t>Freudenstadt</t>
  </si>
  <si>
    <t>Enzkreis</t>
  </si>
  <si>
    <t>Rhein-Neckar-Kreis</t>
  </si>
  <si>
    <t>Calw</t>
  </si>
  <si>
    <t>Rastatt</t>
  </si>
  <si>
    <t>Baden Württemberg</t>
  </si>
  <si>
    <t>Lkr_Nr</t>
  </si>
  <si>
    <t>Lkr_Name</t>
  </si>
  <si>
    <t>Anlagen</t>
  </si>
  <si>
    <t>Lörrach</t>
  </si>
  <si>
    <t>Main-Tauber-Kreis</t>
  </si>
  <si>
    <t>elektrische Leistung</t>
  </si>
  <si>
    <t>Stand</t>
  </si>
  <si>
    <t>Quelle: MLR Ref. 51 und Staatliche Biogasberatung Baden-Württemberg 2004-2011</t>
  </si>
  <si>
    <t>Bearbeitung: LEL Schwäbisch Gmünd, Abt. 3</t>
  </si>
  <si>
    <t>Entwicklung der Biogasanlagen</t>
  </si>
  <si>
    <t>kW / Anlage</t>
  </si>
  <si>
    <t xml:space="preserve">Quellen: </t>
  </si>
  <si>
    <t>Bearbeitung: R. Mueller, LEL Schwäbisch Gmünd, Abt. 3</t>
  </si>
  <si>
    <t xml:space="preserve">in Baden-Württemberg </t>
  </si>
  <si>
    <t>sowie den Stadt-/Landkreisen</t>
  </si>
  <si>
    <t xml:space="preserve">Ministerium für Ländlichen Raum und Verbraucherschutz </t>
  </si>
  <si>
    <t>Baden-Württemberg, Ref. 51</t>
  </si>
  <si>
    <t>Staatliche Biogasberatung Baden-Württemberg</t>
  </si>
  <si>
    <t>Mais gesamt</t>
  </si>
  <si>
    <t>und Berücksichtigung der Maisanbaufläche</t>
  </si>
  <si>
    <t>Stand: Februar 2012</t>
  </si>
  <si>
    <t xml:space="preserve">        Auswahl Dienstbezirk</t>
  </si>
  <si>
    <t>Stand: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</si>
</sst>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5" formatCode="_-* #,##0.00\ _€_-;\-* #,##0.00\ _€_-;_-* &quot;-&quot;??\ _€_-;_-@_-"/>
    <numFmt numFmtId="172" formatCode="_-* #,##0\ _€_-;\-* #,##0\ _€_-;_-* &quot;-&quot;??\ _€_-;_-@_-"/>
    <numFmt numFmtId="209" formatCode="\ #\ ###\ ###\ ##0\ \ ;\ \–###\ ###\ ##0\ \ ;\ * \–\ \ ;\ * @\ \ "/>
  </numFmts>
  <fonts count="36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7"/>
      <name val="Arial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22"/>
      <name val="Arial"/>
      <family val="2"/>
    </font>
    <font>
      <b/>
      <sz val="14"/>
      <color indexed="12"/>
      <name val="Arial"/>
      <family val="2"/>
    </font>
    <font>
      <b/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1" applyNumberFormat="0" applyAlignment="0" applyProtection="0"/>
    <xf numFmtId="209" fontId="13" fillId="0" borderId="0">
      <alignment horizontal="right"/>
    </xf>
    <xf numFmtId="0" fontId="14" fillId="20" borderId="2" applyNumberFormat="0" applyAlignment="0" applyProtection="0"/>
    <xf numFmtId="165" fontId="1" fillId="0" borderId="0" applyFont="0" applyFill="0" applyBorder="0" applyAlignment="0" applyProtection="0"/>
    <xf numFmtId="0" fontId="15" fillId="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8" fillId="4" borderId="0" applyNumberFormat="0" applyBorder="0" applyAlignment="0" applyProtection="0"/>
    <xf numFmtId="0" fontId="19" fillId="21" borderId="0" applyNumberFormat="0" applyBorder="0" applyAlignment="0" applyProtection="0"/>
    <xf numFmtId="0" fontId="20" fillId="22" borderId="4" applyNumberFormat="0" applyFont="0" applyAlignment="0" applyProtection="0"/>
    <xf numFmtId="0" fontId="21" fillId="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23" borderId="9" applyNumberFormat="0" applyAlignment="0" applyProtection="0"/>
  </cellStyleXfs>
  <cellXfs count="47">
    <xf numFmtId="0" fontId="0" fillId="0" borderId="0" xfId="0"/>
    <xf numFmtId="0" fontId="2" fillId="0" borderId="0" xfId="0" applyNumberFormat="1" applyFont="1" applyBorder="1" applyAlignment="1">
      <alignment vertical="top"/>
    </xf>
    <xf numFmtId="0" fontId="0" fillId="0" borderId="0" xfId="0" applyBorder="1"/>
    <xf numFmtId="0" fontId="0" fillId="0" borderId="0" xfId="0" applyFill="1" applyBorder="1"/>
    <xf numFmtId="0" fontId="3" fillId="0" borderId="10" xfId="0" applyNumberFormat="1" applyFont="1" applyBorder="1" applyAlignment="1"/>
    <xf numFmtId="0" fontId="3" fillId="0" borderId="10" xfId="0" applyNumberFormat="1" applyFont="1" applyBorder="1" applyAlignment="1">
      <alignment vertical="top"/>
    </xf>
    <xf numFmtId="0" fontId="3" fillId="0" borderId="10" xfId="0" applyFont="1" applyBorder="1"/>
    <xf numFmtId="1" fontId="0" fillId="0" borderId="0" xfId="0" applyNumberFormat="1" applyBorder="1"/>
    <xf numFmtId="1" fontId="0" fillId="0" borderId="0" xfId="0" applyNumberFormat="1" applyFill="1" applyBorder="1"/>
    <xf numFmtId="0" fontId="4" fillId="0" borderId="0" xfId="0" applyNumberFormat="1" applyFont="1" applyBorder="1" applyAlignment="1">
      <alignment vertical="top"/>
    </xf>
    <xf numFmtId="172" fontId="0" fillId="0" borderId="0" xfId="28" applyNumberFormat="1" applyFont="1" applyBorder="1"/>
    <xf numFmtId="14" fontId="0" fillId="0" borderId="0" xfId="0" applyNumberFormat="1" applyBorder="1"/>
    <xf numFmtId="14" fontId="0" fillId="24" borderId="0" xfId="0" applyNumberFormat="1" applyFill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11" xfId="0" applyFont="1" applyBorder="1"/>
    <xf numFmtId="3" fontId="6" fillId="0" borderId="11" xfId="28" applyNumberFormat="1" applyFont="1" applyBorder="1"/>
    <xf numFmtId="0" fontId="8" fillId="0" borderId="11" xfId="0" applyFont="1" applyBorder="1" applyAlignment="1">
      <alignment horizontal="left" indent="1"/>
    </xf>
    <xf numFmtId="0" fontId="6" fillId="0" borderId="11" xfId="0" applyFont="1" applyBorder="1" applyAlignment="1">
      <alignment horizontal="left" indent="1"/>
    </xf>
    <xf numFmtId="0" fontId="1" fillId="0" borderId="0" xfId="37" applyAlignment="1">
      <alignment vertical="center"/>
    </xf>
    <xf numFmtId="0" fontId="29" fillId="0" borderId="0" xfId="37" applyFont="1" applyAlignment="1">
      <alignment horizontal="center" vertical="center"/>
    </xf>
    <xf numFmtId="0" fontId="32" fillId="0" borderId="12" xfId="0" applyFont="1" applyBorder="1" applyAlignment="1">
      <alignment horizontal="left" vertical="top" wrapText="1"/>
    </xf>
    <xf numFmtId="0" fontId="29" fillId="0" borderId="13" xfId="37" applyFont="1" applyBorder="1" applyAlignment="1">
      <alignment horizontal="center" vertical="center"/>
    </xf>
    <xf numFmtId="0" fontId="1" fillId="0" borderId="14" xfId="37" applyBorder="1" applyAlignment="1">
      <alignment vertical="center"/>
    </xf>
    <xf numFmtId="0" fontId="29" fillId="0" borderId="15" xfId="37" applyFont="1" applyBorder="1" applyAlignment="1">
      <alignment horizontal="center" vertical="center"/>
    </xf>
    <xf numFmtId="0" fontId="29" fillId="0" borderId="15" xfId="37" applyFont="1" applyBorder="1" applyAlignment="1">
      <alignment horizontal="left" vertical="center"/>
    </xf>
    <xf numFmtId="0" fontId="31" fillId="0" borderId="14" xfId="37" applyFont="1" applyBorder="1" applyAlignment="1">
      <alignment horizontal="right" vertical="center"/>
    </xf>
    <xf numFmtId="0" fontId="31" fillId="0" borderId="15" xfId="37" applyFont="1" applyBorder="1" applyAlignment="1">
      <alignment horizontal="left" vertical="center"/>
    </xf>
    <xf numFmtId="0" fontId="31" fillId="0" borderId="15" xfId="37" applyFont="1" applyBorder="1" applyAlignment="1">
      <alignment horizontal="center" vertical="center"/>
    </xf>
    <xf numFmtId="0" fontId="1" fillId="0" borderId="16" xfId="37" applyBorder="1" applyAlignment="1">
      <alignment vertical="center"/>
    </xf>
    <xf numFmtId="0" fontId="29" fillId="0" borderId="17" xfId="37" applyFont="1" applyBorder="1" applyAlignment="1">
      <alignment horizontal="center" vertical="center"/>
    </xf>
    <xf numFmtId="172" fontId="0" fillId="0" borderId="0" xfId="28" applyNumberFormat="1" applyFont="1" applyFill="1" applyBorder="1"/>
    <xf numFmtId="1" fontId="9" fillId="25" borderId="0" xfId="0" applyNumberFormat="1" applyFont="1" applyFill="1" applyBorder="1"/>
    <xf numFmtId="0" fontId="0" fillId="25" borderId="0" xfId="0" applyFill="1"/>
    <xf numFmtId="0" fontId="34" fillId="25" borderId="0" xfId="0" applyFont="1" applyFill="1" applyAlignment="1">
      <alignment vertical="center"/>
    </xf>
    <xf numFmtId="14" fontId="7" fillId="0" borderId="0" xfId="0" applyNumberFormat="1" applyFont="1"/>
    <xf numFmtId="0" fontId="7" fillId="0" borderId="0" xfId="0" applyFont="1" applyAlignment="1">
      <alignment horizontal="right"/>
    </xf>
    <xf numFmtId="0" fontId="5" fillId="0" borderId="14" xfId="37" applyFont="1" applyBorder="1" applyAlignment="1">
      <alignment horizontal="center" vertical="center"/>
    </xf>
    <xf numFmtId="0" fontId="5" fillId="0" borderId="15" xfId="37" applyFont="1" applyBorder="1" applyAlignment="1">
      <alignment horizontal="center" vertical="center"/>
    </xf>
    <xf numFmtId="0" fontId="29" fillId="0" borderId="14" xfId="37" applyFont="1" applyBorder="1" applyAlignment="1">
      <alignment horizontal="center" vertical="center"/>
    </xf>
    <xf numFmtId="0" fontId="29" fillId="0" borderId="15" xfId="37" applyFont="1" applyBorder="1" applyAlignment="1">
      <alignment horizontal="center" vertical="center"/>
    </xf>
    <xf numFmtId="0" fontId="30" fillId="0" borderId="14" xfId="37" applyFont="1" applyBorder="1" applyAlignment="1">
      <alignment horizontal="center" vertical="center"/>
    </xf>
    <xf numFmtId="0" fontId="30" fillId="0" borderId="15" xfId="37" applyFont="1" applyBorder="1" applyAlignment="1">
      <alignment horizontal="center" vertical="center"/>
    </xf>
    <xf numFmtId="0" fontId="33" fillId="0" borderId="14" xfId="37" applyFont="1" applyBorder="1" applyAlignment="1">
      <alignment horizontal="center" vertical="center"/>
    </xf>
    <xf numFmtId="0" fontId="33" fillId="0" borderId="15" xfId="37" applyFont="1" applyBorder="1" applyAlignment="1">
      <alignment horizontal="center" vertical="center"/>
    </xf>
    <xf numFmtId="0" fontId="35" fillId="0" borderId="0" xfId="0" applyFont="1" applyAlignment="1">
      <alignment horizontal="center"/>
    </xf>
  </cellXfs>
  <cellStyles count="4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asisOhneNK" xfId="26"/>
    <cellStyle name="Berechnung" xfId="27" builtinId="22" customBuiltin="1"/>
    <cellStyle name="Eingabe" xfId="29" builtinId="20" customBuiltin="1"/>
    <cellStyle name="Ergebnis" xfId="30" builtinId="25" customBuiltin="1"/>
    <cellStyle name="Erklärender Text" xfId="31" builtinId="53" customBuiltin="1"/>
    <cellStyle name="Euro" xfId="32"/>
    <cellStyle name="Gut" xfId="33" builtinId="26" customBuiltin="1"/>
    <cellStyle name="Komma" xfId="28" builtinId="3"/>
    <cellStyle name="Neutral" xfId="34" builtinId="28" customBuiltin="1"/>
    <cellStyle name="Notiz" xfId="35" builtinId="10" customBuiltin="1"/>
    <cellStyle name="Schlecht" xfId="36" builtinId="27" customBuiltin="1"/>
    <cellStyle name="Standard" xfId="0" builtinId="0"/>
    <cellStyle name="Standard_Strukturdaten 2008" xfId="37"/>
    <cellStyle name="Überschrift" xfId="38" builtinId="15" customBuiltin="1"/>
    <cellStyle name="Überschrift 1" xfId="39" builtinId="16" customBuiltin="1"/>
    <cellStyle name="Überschrift 2" xfId="40" builtinId="17" customBuiltin="1"/>
    <cellStyle name="Überschrift 3" xfId="41" builtinId="18" customBuiltin="1"/>
    <cellStyle name="Überschrift 4" xfId="42" builtinId="19" customBuiltin="1"/>
    <cellStyle name="Verknüpfte Zelle" xfId="43" builtinId="24" customBuiltin="1"/>
    <cellStyle name="Warnender Text" xfId="44" builtinId="11" customBuiltin="1"/>
    <cellStyle name="Zelle überprüfen" xfId="45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21634417054321E-2"/>
          <c:y val="0.11583951093267705"/>
          <c:w val="0.8279582312641478"/>
          <c:h val="0.777779573405117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Grafik!$B$33</c:f>
              <c:strCache>
                <c:ptCount val="1"/>
                <c:pt idx="0">
                  <c:v>elektrische Leistung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Grafik!$C$32:$J$32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Grafik!$C$33:$J$33</c:f>
              <c:numCache>
                <c:formatCode>#,##0</c:formatCode>
                <c:ptCount val="8"/>
                <c:pt idx="0">
                  <c:v>1805</c:v>
                </c:pt>
                <c:pt idx="1">
                  <c:v>2715</c:v>
                </c:pt>
                <c:pt idx="2">
                  <c:v>3920</c:v>
                </c:pt>
                <c:pt idx="3">
                  <c:v>5380</c:v>
                </c:pt>
                <c:pt idx="4">
                  <c:v>5840</c:v>
                </c:pt>
                <c:pt idx="5">
                  <c:v>7566</c:v>
                </c:pt>
                <c:pt idx="6">
                  <c:v>10880</c:v>
                </c:pt>
                <c:pt idx="7">
                  <c:v>14372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9D-4F10-AC04-968A93224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384792"/>
        <c:axId val="1"/>
      </c:barChart>
      <c:lineChart>
        <c:grouping val="standard"/>
        <c:varyColors val="0"/>
        <c:ser>
          <c:idx val="0"/>
          <c:order val="1"/>
          <c:tx>
            <c:strRef>
              <c:f>Grafik!$B$34</c:f>
              <c:strCache>
                <c:ptCount val="1"/>
                <c:pt idx="0">
                  <c:v>Anlagen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Grafik!$C$32:$J$32</c:f>
              <c:numCache>
                <c:formatCode>General</c:formatCode>
                <c:ptCount val="8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</c:numCache>
            </c:numRef>
          </c:cat>
          <c:val>
            <c:numRef>
              <c:f>Grafik!$C$34:$J$34</c:f>
              <c:numCache>
                <c:formatCode>#,##0</c:formatCode>
                <c:ptCount val="8"/>
                <c:pt idx="0">
                  <c:v>20</c:v>
                </c:pt>
                <c:pt idx="1">
                  <c:v>25</c:v>
                </c:pt>
                <c:pt idx="2">
                  <c:v>22</c:v>
                </c:pt>
                <c:pt idx="3">
                  <c:v>26</c:v>
                </c:pt>
                <c:pt idx="4">
                  <c:v>26</c:v>
                </c:pt>
                <c:pt idx="5">
                  <c:v>31</c:v>
                </c:pt>
                <c:pt idx="6">
                  <c:v>41</c:v>
                </c:pt>
                <c:pt idx="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9D-4F10-AC04-968A93224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17384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[Elektr.Leistung]</a:t>
                </a:r>
              </a:p>
            </c:rich>
          </c:tx>
          <c:layout>
            <c:manualLayout>
              <c:xMode val="edge"/>
              <c:yMode val="edge"/>
              <c:x val="7.6805030729512787E-3"/>
              <c:y val="1.1820358258436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173847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[Anlagen]</a:t>
                </a:r>
              </a:p>
            </c:rich>
          </c:tx>
          <c:layout>
            <c:manualLayout>
              <c:xMode val="edge"/>
              <c:yMode val="edge"/>
              <c:x val="0.89401055769152882"/>
              <c:y val="1.1820358258436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445484179213739"/>
          <c:y val="0.13238801249448806"/>
          <c:w val="0.23963169587607988"/>
          <c:h val="0.101655081022553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Page &amp;S</c:oddFooter>
    </c:headerFooter>
    <c:pageMargins b="0.984251969" l="0.78740157499999996" r="0.78740157499999996" t="0.984251969" header="0.5" footer="0.5"/>
    <c:pageSetup/>
  </c:printSettings>
</c:chartSpace>
</file>

<file path=xl/ctrlProps/ctrlProp1.xml><?xml version="1.0" encoding="utf-8"?>
<formControlPr xmlns="http://schemas.microsoft.com/office/spreadsheetml/2009/9/main" objectType="Drop" dropStyle="combo" dx="22" fmlaLink="$A$1" fmlaRange="Anlagen!$C$3:$C$39" noThreeD="1" sel="9" val="7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542925</xdr:colOff>
          <xdr:row>0</xdr:row>
          <xdr:rowOff>161925</xdr:rowOff>
        </xdr:from>
        <xdr:to>
          <xdr:col>1</xdr:col>
          <xdr:colOff>3752850</xdr:colOff>
          <xdr:row>6</xdr:row>
          <xdr:rowOff>209550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4219575</xdr:colOff>
          <xdr:row>34</xdr:row>
          <xdr:rowOff>28575</xdr:rowOff>
        </xdr:from>
        <xdr:to>
          <xdr:col>1</xdr:col>
          <xdr:colOff>5105400</xdr:colOff>
          <xdr:row>35</xdr:row>
          <xdr:rowOff>209550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0</xdr:rowOff>
        </xdr:from>
        <xdr:to>
          <xdr:col>1</xdr:col>
          <xdr:colOff>1552575</xdr:colOff>
          <xdr:row>0</xdr:row>
          <xdr:rowOff>285750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>
    <xdr:from>
      <xdr:col>1</xdr:col>
      <xdr:colOff>9525</xdr:colOff>
      <xdr:row>3</xdr:row>
      <xdr:rowOff>19050</xdr:rowOff>
    </xdr:from>
    <xdr:to>
      <xdr:col>9</xdr:col>
      <xdr:colOff>542925</xdr:colOff>
      <xdr:row>28</xdr:row>
      <xdr:rowOff>0</xdr:rowOff>
    </xdr:to>
    <xdr:graphicFrame macro="">
      <xdr:nvGraphicFramePr>
        <xdr:cNvPr id="2051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57150</xdr:colOff>
      <xdr:row>0</xdr:row>
      <xdr:rowOff>152400</xdr:rowOff>
    </xdr:from>
    <xdr:to>
      <xdr:col>2</xdr:col>
      <xdr:colOff>314325</xdr:colOff>
      <xdr:row>0</xdr:row>
      <xdr:rowOff>152400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 flipH="1">
          <a:off x="1771650" y="152400"/>
          <a:ext cx="25717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landwirtschaft-bw.info/Mueller/Daten%20und%20Fakten/Vergleich%20der%20Regionen/Daten/lel_21.09.2011%20-%20Vergleich%20der%20Regionen_Arbeitsfass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Vergleich"/>
      <sheetName val="Grafik_1"/>
      <sheetName val="Grafik_3"/>
      <sheetName val="Gesamt"/>
      <sheetName val="Gebietsliste"/>
    </sheetNames>
    <sheetDataSet>
      <sheetData sheetId="0"/>
      <sheetData sheetId="1">
        <row r="3">
          <cell r="G3">
            <v>2</v>
          </cell>
          <cell r="H3">
            <v>4</v>
          </cell>
          <cell r="I3">
            <v>31</v>
          </cell>
          <cell r="J3">
            <v>39</v>
          </cell>
        </row>
      </sheetData>
      <sheetData sheetId="2"/>
      <sheetData sheetId="3"/>
      <sheetData sheetId="4"/>
      <sheetData sheetId="5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36</v>
          </cell>
        </row>
        <row r="37">
          <cell r="A37">
            <v>37</v>
          </cell>
        </row>
        <row r="38">
          <cell r="A38">
            <v>38</v>
          </cell>
        </row>
        <row r="39">
          <cell r="A39">
            <v>39</v>
          </cell>
        </row>
        <row r="40">
          <cell r="A40">
            <v>40</v>
          </cell>
        </row>
        <row r="41">
          <cell r="A41">
            <v>41</v>
          </cell>
        </row>
        <row r="42">
          <cell r="A42">
            <v>42</v>
          </cell>
        </row>
        <row r="43">
          <cell r="A43">
            <v>43</v>
          </cell>
        </row>
        <row r="44">
          <cell r="A44">
            <v>44</v>
          </cell>
        </row>
        <row r="45">
          <cell r="A45">
            <v>45</v>
          </cell>
        </row>
        <row r="46">
          <cell r="A46">
            <v>46</v>
          </cell>
        </row>
        <row r="47">
          <cell r="A47">
            <v>47</v>
          </cell>
        </row>
        <row r="48">
          <cell r="A48">
            <v>48</v>
          </cell>
        </row>
        <row r="49">
          <cell r="A49">
            <v>49</v>
          </cell>
        </row>
        <row r="50">
          <cell r="A50">
            <v>50</v>
          </cell>
        </row>
        <row r="51">
          <cell r="A51">
            <v>51</v>
          </cell>
        </row>
        <row r="52">
          <cell r="A52">
            <v>52</v>
          </cell>
        </row>
        <row r="53">
          <cell r="A53">
            <v>53</v>
          </cell>
        </row>
        <row r="54">
          <cell r="A54">
            <v>54</v>
          </cell>
        </row>
        <row r="55">
          <cell r="A55">
            <v>55</v>
          </cell>
        </row>
        <row r="56">
          <cell r="A56">
            <v>56</v>
          </cell>
        </row>
        <row r="57">
          <cell r="A57">
            <v>57</v>
          </cell>
        </row>
        <row r="58">
          <cell r="A58">
            <v>58</v>
          </cell>
        </row>
        <row r="59">
          <cell r="A59">
            <v>59</v>
          </cell>
        </row>
        <row r="60">
          <cell r="A60">
            <v>60</v>
          </cell>
        </row>
        <row r="61">
          <cell r="A61">
            <v>61</v>
          </cell>
        </row>
        <row r="62">
          <cell r="A62">
            <v>62</v>
          </cell>
        </row>
        <row r="63">
          <cell r="A63">
            <v>63</v>
          </cell>
        </row>
        <row r="64">
          <cell r="A64">
            <v>64</v>
          </cell>
        </row>
        <row r="65">
          <cell r="A65">
            <v>65</v>
          </cell>
        </row>
        <row r="66">
          <cell r="A66">
            <v>66</v>
          </cell>
        </row>
        <row r="67">
          <cell r="A67">
            <v>67</v>
          </cell>
        </row>
        <row r="68">
          <cell r="A68">
            <v>68</v>
          </cell>
        </row>
        <row r="69">
          <cell r="A69">
            <v>69</v>
          </cell>
        </row>
        <row r="70">
          <cell r="A70">
            <v>70</v>
          </cell>
        </row>
        <row r="71">
          <cell r="A71">
            <v>71</v>
          </cell>
        </row>
        <row r="72">
          <cell r="A72">
            <v>72</v>
          </cell>
        </row>
        <row r="73">
          <cell r="A73">
            <v>73</v>
          </cell>
        </row>
        <row r="74">
          <cell r="A74">
            <v>74</v>
          </cell>
        </row>
        <row r="75">
          <cell r="A75">
            <v>75</v>
          </cell>
        </row>
        <row r="76">
          <cell r="A76">
            <v>76</v>
          </cell>
        </row>
        <row r="77">
          <cell r="A77">
            <v>77</v>
          </cell>
        </row>
        <row r="78">
          <cell r="A78">
            <v>78</v>
          </cell>
        </row>
        <row r="79">
          <cell r="A79">
            <v>79</v>
          </cell>
        </row>
        <row r="80">
          <cell r="A80">
            <v>80</v>
          </cell>
        </row>
        <row r="81">
          <cell r="A81">
            <v>81</v>
          </cell>
        </row>
        <row r="82">
          <cell r="A82">
            <v>82</v>
          </cell>
        </row>
        <row r="83">
          <cell r="A83">
            <v>83</v>
          </cell>
        </row>
        <row r="84">
          <cell r="A84">
            <v>84</v>
          </cell>
        </row>
        <row r="85">
          <cell r="A85">
            <v>85</v>
          </cell>
        </row>
        <row r="86">
          <cell r="A86">
            <v>86</v>
          </cell>
        </row>
        <row r="87">
          <cell r="A87">
            <v>87</v>
          </cell>
        </row>
        <row r="88">
          <cell r="A88">
            <v>88</v>
          </cell>
        </row>
        <row r="89">
          <cell r="A89">
            <v>89</v>
          </cell>
        </row>
        <row r="90">
          <cell r="A90">
            <v>90</v>
          </cell>
        </row>
        <row r="91">
          <cell r="A91">
            <v>91</v>
          </cell>
        </row>
        <row r="92">
          <cell r="A92">
            <v>92</v>
          </cell>
        </row>
        <row r="93">
          <cell r="A93">
            <v>93</v>
          </cell>
        </row>
        <row r="94">
          <cell r="A94">
            <v>94</v>
          </cell>
        </row>
        <row r="95">
          <cell r="A95">
            <v>95</v>
          </cell>
        </row>
        <row r="96">
          <cell r="A96">
            <v>96</v>
          </cell>
        </row>
        <row r="97">
          <cell r="A97">
            <v>97</v>
          </cell>
        </row>
        <row r="98">
          <cell r="A98">
            <v>98</v>
          </cell>
        </row>
        <row r="99">
          <cell r="A99">
            <v>99</v>
          </cell>
        </row>
        <row r="100">
          <cell r="A100">
            <v>100</v>
          </cell>
        </row>
        <row r="101">
          <cell r="A101">
            <v>101</v>
          </cell>
        </row>
        <row r="102">
          <cell r="A102">
            <v>102</v>
          </cell>
        </row>
        <row r="103">
          <cell r="A103">
            <v>103</v>
          </cell>
        </row>
        <row r="104">
          <cell r="A104">
            <v>104</v>
          </cell>
        </row>
        <row r="105">
          <cell r="A105">
            <v>105</v>
          </cell>
        </row>
        <row r="106">
          <cell r="A106">
            <v>106</v>
          </cell>
        </row>
        <row r="107">
          <cell r="A107">
            <v>107</v>
          </cell>
        </row>
        <row r="108">
          <cell r="A108">
            <v>108</v>
          </cell>
        </row>
        <row r="109">
          <cell r="A109">
            <v>109</v>
          </cell>
        </row>
        <row r="110">
          <cell r="A110">
            <v>110</v>
          </cell>
        </row>
        <row r="111">
          <cell r="A111">
            <v>111</v>
          </cell>
        </row>
        <row r="112">
          <cell r="A112">
            <v>112</v>
          </cell>
        </row>
        <row r="113">
          <cell r="A113">
            <v>113</v>
          </cell>
        </row>
        <row r="114">
          <cell r="A114">
            <v>114</v>
          </cell>
        </row>
        <row r="115">
          <cell r="A115">
            <v>115</v>
          </cell>
        </row>
        <row r="116">
          <cell r="A116">
            <v>116</v>
          </cell>
        </row>
        <row r="117">
          <cell r="A117">
            <v>117</v>
          </cell>
        </row>
        <row r="118">
          <cell r="A118">
            <v>118</v>
          </cell>
        </row>
        <row r="119">
          <cell r="A119">
            <v>119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B44"/>
  <sheetViews>
    <sheetView showGridLines="0" zoomScaleNormal="100" workbookViewId="0"/>
  </sheetViews>
  <sheetFormatPr baseColWidth="10" defaultRowHeight="23.25"/>
  <cols>
    <col min="1" max="1" width="13.85546875" style="20" customWidth="1"/>
    <col min="2" max="2" width="78.140625" style="21" customWidth="1"/>
    <col min="3" max="16384" width="11.42578125" style="20"/>
  </cols>
  <sheetData>
    <row r="1" spans="1:2" ht="22.5" customHeight="1">
      <c r="A1" s="22"/>
      <c r="B1" s="23"/>
    </row>
    <row r="2" spans="1:2" ht="22.5" customHeight="1">
      <c r="A2" s="24"/>
      <c r="B2" s="25"/>
    </row>
    <row r="3" spans="1:2" ht="22.5" customHeight="1">
      <c r="A3" s="24"/>
      <c r="B3" s="25"/>
    </row>
    <row r="4" spans="1:2" ht="22.5" customHeight="1">
      <c r="A4" s="24"/>
      <c r="B4" s="25"/>
    </row>
    <row r="5" spans="1:2" ht="22.5" customHeight="1">
      <c r="A5" s="24"/>
      <c r="B5" s="25"/>
    </row>
    <row r="6" spans="1:2" ht="22.5" customHeight="1">
      <c r="A6" s="24"/>
      <c r="B6" s="25"/>
    </row>
    <row r="7" spans="1:2" ht="22.5" customHeight="1">
      <c r="A7" s="24"/>
      <c r="B7" s="25"/>
    </row>
    <row r="8" spans="1:2" ht="22.5" customHeight="1">
      <c r="A8" s="38"/>
      <c r="B8" s="39"/>
    </row>
    <row r="9" spans="1:2" ht="22.5" customHeight="1">
      <c r="A9" s="38"/>
      <c r="B9" s="39"/>
    </row>
    <row r="10" spans="1:2" ht="30" customHeight="1">
      <c r="A10" s="42" t="s">
        <v>44</v>
      </c>
      <c r="B10" s="43"/>
    </row>
    <row r="11" spans="1:2" ht="14.25" customHeight="1">
      <c r="A11" s="24"/>
      <c r="B11" s="25"/>
    </row>
    <row r="12" spans="1:2" ht="30" customHeight="1">
      <c r="A12" s="42" t="s">
        <v>48</v>
      </c>
      <c r="B12" s="43"/>
    </row>
    <row r="13" spans="1:2" ht="14.25" customHeight="1">
      <c r="A13" s="24"/>
      <c r="B13" s="25"/>
    </row>
    <row r="14" spans="1:2" ht="30" customHeight="1">
      <c r="A14" s="42" t="s">
        <v>49</v>
      </c>
      <c r="B14" s="43"/>
    </row>
    <row r="15" spans="1:2" ht="22.5" customHeight="1">
      <c r="A15" s="24"/>
      <c r="B15" s="26"/>
    </row>
    <row r="16" spans="1:2" ht="27.75">
      <c r="A16" s="44" t="s">
        <v>54</v>
      </c>
      <c r="B16" s="45"/>
    </row>
    <row r="17" spans="1:2" ht="22.5" customHeight="1">
      <c r="A17" s="24"/>
      <c r="B17" s="25"/>
    </row>
    <row r="18" spans="1:2" ht="22.5" customHeight="1">
      <c r="A18" s="24"/>
      <c r="B18" s="25"/>
    </row>
    <row r="19" spans="1:2" ht="22.5" customHeight="1">
      <c r="A19" s="40" t="s">
        <v>55</v>
      </c>
      <c r="B19" s="41"/>
    </row>
    <row r="20" spans="1:2" ht="22.5" customHeight="1">
      <c r="A20" s="24"/>
      <c r="B20" s="25"/>
    </row>
    <row r="21" spans="1:2" ht="22.5" customHeight="1">
      <c r="A21" s="24"/>
      <c r="B21" s="25"/>
    </row>
    <row r="22" spans="1:2" ht="22.5" customHeight="1">
      <c r="A22" s="24"/>
      <c r="B22" s="25"/>
    </row>
    <row r="23" spans="1:2" ht="22.5" customHeight="1">
      <c r="A23" s="24"/>
      <c r="B23" s="25"/>
    </row>
    <row r="24" spans="1:2" ht="22.5" customHeight="1">
      <c r="A24" s="27" t="s">
        <v>46</v>
      </c>
      <c r="B24" s="28" t="s">
        <v>50</v>
      </c>
    </row>
    <row r="25" spans="1:2" ht="22.5" customHeight="1">
      <c r="A25" s="24"/>
      <c r="B25" s="28" t="s">
        <v>51</v>
      </c>
    </row>
    <row r="26" spans="1:2" ht="22.5" customHeight="1">
      <c r="A26" s="24"/>
      <c r="B26" s="28"/>
    </row>
    <row r="27" spans="1:2" ht="22.5" customHeight="1">
      <c r="A27" s="24"/>
      <c r="B27" s="28" t="s">
        <v>52</v>
      </c>
    </row>
    <row r="28" spans="1:2" ht="22.5" customHeight="1">
      <c r="A28" s="24"/>
      <c r="B28" s="28"/>
    </row>
    <row r="29" spans="1:2" ht="22.5" customHeight="1">
      <c r="A29" s="24"/>
      <c r="B29" s="28"/>
    </row>
    <row r="30" spans="1:2" ht="22.5" customHeight="1">
      <c r="A30" s="24"/>
      <c r="B30" s="29"/>
    </row>
    <row r="31" spans="1:2" ht="22.5" customHeight="1">
      <c r="A31" s="24"/>
      <c r="B31" s="28" t="s">
        <v>47</v>
      </c>
    </row>
    <row r="32" spans="1:2" ht="22.5" customHeight="1">
      <c r="A32" s="24"/>
      <c r="B32" s="28"/>
    </row>
    <row r="33" spans="1:2" ht="22.5" customHeight="1">
      <c r="A33" s="24"/>
      <c r="B33" s="28"/>
    </row>
    <row r="34" spans="1:2" ht="22.5" customHeight="1">
      <c r="A34" s="24"/>
      <c r="B34" s="28"/>
    </row>
    <row r="35" spans="1:2" ht="22.5" customHeight="1">
      <c r="A35" s="24"/>
      <c r="B35" s="25"/>
    </row>
    <row r="36" spans="1:2" ht="22.5" customHeight="1" thickBot="1">
      <c r="A36" s="30"/>
      <c r="B36" s="31"/>
    </row>
    <row r="37" spans="1:2" ht="9" customHeight="1"/>
    <row r="38" spans="1:2" ht="22.5" customHeight="1"/>
    <row r="39" spans="1:2" ht="22.5" customHeight="1"/>
    <row r="40" spans="1:2" ht="22.5" customHeight="1"/>
    <row r="41" spans="1:2" ht="22.5" customHeight="1"/>
    <row r="42" spans="1:2" ht="22.5" customHeight="1"/>
    <row r="43" spans="1:2" ht="22.5" customHeight="1"/>
    <row r="44" spans="1:2" ht="22.5" customHeight="1"/>
  </sheetData>
  <mergeCells count="7">
    <mergeCell ref="A8:B8"/>
    <mergeCell ref="A9:B9"/>
    <mergeCell ref="A19:B19"/>
    <mergeCell ref="A10:B10"/>
    <mergeCell ref="A12:B12"/>
    <mergeCell ref="A14:B14"/>
    <mergeCell ref="A16:B16"/>
  </mergeCells>
  <phoneticPr fontId="1" type="noConversion"/>
  <printOptions horizontalCentered="1" verticalCentered="1"/>
  <pageMargins left="0.78740157480314965" right="0.78740157480314965" top="0.59055118110236227" bottom="0.59055118110236227" header="0.39370078740157483" footer="0.19685039370078741"/>
  <pageSetup paperSize="9" scale="94" fitToHeight="0" orientation="portrait" r:id="rId1"/>
  <headerFooter alignWithMargins="0"/>
  <rowBreaks count="1" manualBreakCount="1">
    <brk id="36" max="1" man="1"/>
  </rowBreaks>
  <drawing r:id="rId2"/>
  <legacyDrawing r:id="rId3"/>
  <oleObjects>
    <mc:AlternateContent xmlns:mc="http://schemas.openxmlformats.org/markup-compatibility/2006">
      <mc:Choice Requires="x14">
        <oleObject progId="Paint.Picture" shapeId="3075" r:id="rId4">
          <objectPr defaultSize="0" autoPict="0" r:id="rId5">
            <anchor moveWithCells="1">
              <from>
                <xdr:col>1</xdr:col>
                <xdr:colOff>542925</xdr:colOff>
                <xdr:row>0</xdr:row>
                <xdr:rowOff>161925</xdr:rowOff>
              </from>
              <to>
                <xdr:col>1</xdr:col>
                <xdr:colOff>3752850</xdr:colOff>
                <xdr:row>6</xdr:row>
                <xdr:rowOff>209550</xdr:rowOff>
              </to>
            </anchor>
          </objectPr>
        </oleObject>
      </mc:Choice>
      <mc:Fallback>
        <oleObject progId="Paint.Picture" shapeId="3075" r:id="rId4"/>
      </mc:Fallback>
    </mc:AlternateContent>
    <mc:AlternateContent xmlns:mc="http://schemas.openxmlformats.org/markup-compatibility/2006">
      <mc:Choice Requires="x14">
        <oleObject progId="Paint.Picture" shapeId="3076" r:id="rId6">
          <objectPr defaultSize="0" autoPict="0" r:id="rId7">
            <anchor moveWithCells="1">
              <from>
                <xdr:col>1</xdr:col>
                <xdr:colOff>4219575</xdr:colOff>
                <xdr:row>34</xdr:row>
                <xdr:rowOff>28575</xdr:rowOff>
              </from>
              <to>
                <xdr:col>1</xdr:col>
                <xdr:colOff>5105400</xdr:colOff>
                <xdr:row>35</xdr:row>
                <xdr:rowOff>209550</xdr:rowOff>
              </to>
            </anchor>
          </objectPr>
        </oleObject>
      </mc:Choice>
      <mc:Fallback>
        <oleObject progId="Paint.Picture" shapeId="307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pane ySplit="1" topLeftCell="A2" activePane="bottomLeft" state="frozen"/>
      <selection pane="bottomLeft" activeCell="H39" sqref="H39"/>
    </sheetView>
  </sheetViews>
  <sheetFormatPr baseColWidth="10" defaultRowHeight="12.75"/>
  <cols>
    <col min="1" max="1" width="1.7109375" customWidth="1"/>
    <col min="2" max="2" width="24" bestFit="1" customWidth="1"/>
    <col min="3" max="10" width="8.7109375" customWidth="1"/>
  </cols>
  <sheetData>
    <row r="1" spans="1:10" ht="24.75" customHeight="1">
      <c r="A1" s="33">
        <v>9</v>
      </c>
      <c r="B1" s="34"/>
      <c r="C1" s="35" t="s">
        <v>56</v>
      </c>
      <c r="D1" s="34"/>
      <c r="E1" s="34"/>
      <c r="F1" s="34"/>
      <c r="G1" s="34"/>
    </row>
    <row r="2" spans="1:10" ht="20.25">
      <c r="B2" s="46" t="s">
        <v>44</v>
      </c>
      <c r="C2" s="46"/>
      <c r="D2" s="46"/>
      <c r="E2" s="46"/>
      <c r="F2" s="46"/>
      <c r="G2" s="46"/>
      <c r="H2" s="46"/>
      <c r="I2" s="46"/>
      <c r="J2" s="46"/>
    </row>
    <row r="3" spans="1:10" ht="20.25">
      <c r="A3" s="13"/>
      <c r="B3" s="46" t="str">
        <f>IF(A1=37,"in ","im Kreis ")&amp;B32</f>
        <v>im Kreis Schwäbisch Hall</v>
      </c>
      <c r="C3" s="46"/>
      <c r="D3" s="46"/>
      <c r="E3" s="46"/>
      <c r="F3" s="46"/>
      <c r="G3" s="46"/>
      <c r="H3" s="46"/>
      <c r="I3" s="46"/>
      <c r="J3" s="46"/>
    </row>
    <row r="4" spans="1:10">
      <c r="C4" s="2"/>
      <c r="D4" s="2"/>
      <c r="E4" s="2"/>
      <c r="F4" s="2"/>
      <c r="G4" s="2"/>
      <c r="H4" s="2"/>
      <c r="I4" s="2"/>
      <c r="J4" s="2"/>
    </row>
    <row r="29" spans="2:10">
      <c r="B29" s="15" t="s">
        <v>42</v>
      </c>
    </row>
    <row r="30" spans="2:10">
      <c r="B30" s="15" t="s">
        <v>43</v>
      </c>
      <c r="I30" s="37" t="s">
        <v>57</v>
      </c>
      <c r="J30" s="36">
        <v>40908</v>
      </c>
    </row>
    <row r="32" spans="2:10">
      <c r="B32" s="18" t="str">
        <f>VLOOKUP($A$1,Anlagen!$A$2:$K$39,3,FALSE)</f>
        <v>Schwäbisch Hall</v>
      </c>
      <c r="C32" s="16">
        <v>2004</v>
      </c>
      <c r="D32" s="16">
        <v>2005</v>
      </c>
      <c r="E32" s="16">
        <v>2006</v>
      </c>
      <c r="F32" s="16">
        <v>2007</v>
      </c>
      <c r="G32" s="16">
        <v>2008</v>
      </c>
      <c r="H32" s="16">
        <v>2009</v>
      </c>
      <c r="I32" s="16">
        <v>2010</v>
      </c>
      <c r="J32" s="16">
        <v>2011</v>
      </c>
    </row>
    <row r="33" spans="1:10">
      <c r="A33" s="14"/>
      <c r="B33" s="19" t="str">
        <f>kW_el!D1</f>
        <v>elektrische Leistung</v>
      </c>
      <c r="C33" s="17">
        <f>VLOOKUP($A$1,kW_el!$A$2:$K$39,4,FALSE)</f>
        <v>1805</v>
      </c>
      <c r="D33" s="17">
        <f>VLOOKUP($A$1,kW_el!$A$2:$K$39,5,FALSE)</f>
        <v>2715</v>
      </c>
      <c r="E33" s="17">
        <f>VLOOKUP($A$1,kW_el!$A$2:$K$39,6,FALSE)</f>
        <v>3920</v>
      </c>
      <c r="F33" s="17">
        <f>VLOOKUP($A$1,kW_el!$A$2:$K$39,7,FALSE)</f>
        <v>5380</v>
      </c>
      <c r="G33" s="17">
        <f>VLOOKUP($A$1,kW_el!$A$2:$K$39,8,FALSE)</f>
        <v>5840</v>
      </c>
      <c r="H33" s="17">
        <f>VLOOKUP($A$1,kW_el!$A$2:$K$39,9,FALSE)</f>
        <v>7566</v>
      </c>
      <c r="I33" s="17">
        <f>VLOOKUP($A$1,kW_el!$A$2:$K$39,10,FALSE)</f>
        <v>10880</v>
      </c>
      <c r="J33" s="17">
        <f>VLOOKUP($A$1,kW_el!$A$2:$K$39,11,FALSE)</f>
        <v>14372</v>
      </c>
    </row>
    <row r="34" spans="1:10">
      <c r="A34" s="14"/>
      <c r="B34" s="19" t="str">
        <f>Anlagen!D1</f>
        <v>Anlagen</v>
      </c>
      <c r="C34" s="17">
        <f>VLOOKUP($A$1,Anlagen!$A$2:$K$39,4,FALSE)</f>
        <v>20</v>
      </c>
      <c r="D34" s="17">
        <f>VLOOKUP($A$1,Anlagen!$A$2:$K$39,5,FALSE)</f>
        <v>25</v>
      </c>
      <c r="E34" s="17">
        <f>VLOOKUP($A$1,Anlagen!$A$2:$K$39,6,FALSE)</f>
        <v>22</v>
      </c>
      <c r="F34" s="17">
        <f>VLOOKUP($A$1,Anlagen!$A$2:$K$39,7,FALSE)</f>
        <v>26</v>
      </c>
      <c r="G34" s="17">
        <f>VLOOKUP($A$1,Anlagen!$A$2:$K$39,8,FALSE)</f>
        <v>26</v>
      </c>
      <c r="H34" s="17">
        <f>VLOOKUP($A$1,Anlagen!$A$2:$K$39,9,FALSE)</f>
        <v>31</v>
      </c>
      <c r="I34" s="17">
        <f>VLOOKUP($A$1,Anlagen!$A$2:$K$39,10,FALSE)</f>
        <v>41</v>
      </c>
      <c r="J34" s="17">
        <f>VLOOKUP($A$1,Anlagen!$A$2:$K$39,11,FALSE)</f>
        <v>46</v>
      </c>
    </row>
    <row r="35" spans="1:10">
      <c r="A35" s="14"/>
      <c r="B35" s="19" t="str">
        <f>'kW je Anlage'!D1</f>
        <v>kW / Anlage</v>
      </c>
      <c r="C35" s="17">
        <f>VLOOKUP($A$1,'kW je Anlage'!$A$2:$K$39,4,FALSE)</f>
        <v>90.25</v>
      </c>
      <c r="D35" s="17">
        <f>VLOOKUP($A$1,'kW je Anlage'!$A$2:$K$39,5,FALSE)</f>
        <v>108.6</v>
      </c>
      <c r="E35" s="17">
        <f>VLOOKUP($A$1,'kW je Anlage'!$A$2:$K$39,6,FALSE)</f>
        <v>178.18181818181819</v>
      </c>
      <c r="F35" s="17">
        <f>VLOOKUP($A$1,'kW je Anlage'!$A$2:$K$39,7,FALSE)</f>
        <v>206.92307692307693</v>
      </c>
      <c r="G35" s="17">
        <f>VLOOKUP($A$1,'kW je Anlage'!$A$2:$K$39,8,FALSE)</f>
        <v>224.61538461538461</v>
      </c>
      <c r="H35" s="17">
        <f>VLOOKUP($A$1,'kW je Anlage'!$A$2:$K$39,9,FALSE)</f>
        <v>244.06451612903226</v>
      </c>
      <c r="I35" s="17">
        <f>VLOOKUP($A$1,'kW je Anlage'!$A$2:$K$39,10,FALSE)</f>
        <v>265.36585365853659</v>
      </c>
      <c r="J35" s="17">
        <f>VLOOKUP($A$1,'kW je Anlage'!$A$2:$K$39,11,FALSE)</f>
        <v>312.43478260869563</v>
      </c>
    </row>
    <row r="36" spans="1:10" hidden="1">
      <c r="B36" s="19" t="str">
        <f>Mais!D1&amp;" (ha)"</f>
        <v>Mais gesamt (ha)</v>
      </c>
      <c r="C36" s="17">
        <f>VLOOKUP($A$1,Mais!$A$2:$K$39,4,FALSE)</f>
        <v>0</v>
      </c>
      <c r="D36" s="17">
        <f>VLOOKUP($A$1,Mais!$A$2:$K$39,5,FALSE)</f>
        <v>0</v>
      </c>
      <c r="E36" s="17">
        <f>VLOOKUP($A$1,Mais!$A$2:$K$39,6,FALSE)</f>
        <v>0</v>
      </c>
      <c r="F36" s="17">
        <f>VLOOKUP($A$1,Mais!$A$2:$K$39,7,FALSE)</f>
        <v>6678</v>
      </c>
      <c r="G36" s="17">
        <f>VLOOKUP($A$1,Mais!$A$2:$K$39,8,FALSE)</f>
        <v>0</v>
      </c>
      <c r="H36" s="17">
        <f>VLOOKUP($A$1,Mais!$A$2:$K$39,9,FALSE)</f>
        <v>0</v>
      </c>
      <c r="I36" s="17">
        <f>VLOOKUP($A$1,Mais!$A$2:$K$39,10,FALSE)</f>
        <v>8283</v>
      </c>
      <c r="J36" s="17">
        <f>VLOOKUP($A$1,Mais!$A$2:$K$39,11,FALSE)</f>
        <v>0</v>
      </c>
    </row>
  </sheetData>
  <mergeCells count="2">
    <mergeCell ref="B2:J2"/>
    <mergeCell ref="B3:J3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11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1</xdr:col>
                    <xdr:colOff>9525</xdr:colOff>
                    <xdr:row>0</xdr:row>
                    <xdr:rowOff>0</xdr:rowOff>
                  </from>
                  <to>
                    <xdr:col>1</xdr:col>
                    <xdr:colOff>1552575</xdr:colOff>
                    <xdr:row>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K41" sqref="K41"/>
    </sheetView>
  </sheetViews>
  <sheetFormatPr baseColWidth="10" defaultRowHeight="12.75"/>
  <cols>
    <col min="1" max="1" width="3" style="2" bestFit="1" customWidth="1"/>
    <col min="2" max="2" width="7.5703125" style="7" customWidth="1"/>
    <col min="3" max="3" width="24" style="2" bestFit="1" customWidth="1"/>
    <col min="4" max="11" width="11.42578125" style="2"/>
    <col min="12" max="12" width="16.42578125" style="2" bestFit="1" customWidth="1"/>
    <col min="13" max="16384" width="11.42578125" style="2"/>
  </cols>
  <sheetData>
    <row r="1" spans="1:11">
      <c r="D1" s="9" t="s">
        <v>37</v>
      </c>
      <c r="E1" s="1"/>
      <c r="F1" s="1"/>
      <c r="G1" s="1"/>
      <c r="H1" s="1"/>
      <c r="I1" s="1"/>
    </row>
    <row r="2" spans="1:11">
      <c r="B2" s="4" t="s">
        <v>35</v>
      </c>
      <c r="C2" s="5" t="s">
        <v>36</v>
      </c>
      <c r="D2" s="6">
        <v>2004</v>
      </c>
      <c r="E2" s="6">
        <v>2005</v>
      </c>
      <c r="F2" s="6">
        <v>2006</v>
      </c>
      <c r="G2" s="6">
        <v>2007</v>
      </c>
      <c r="H2" s="6">
        <v>2008</v>
      </c>
      <c r="I2" s="6">
        <v>2009</v>
      </c>
      <c r="J2" s="6">
        <v>2010</v>
      </c>
      <c r="K2" s="6">
        <v>2011</v>
      </c>
    </row>
    <row r="3" spans="1:11">
      <c r="A3" s="2">
        <v>1</v>
      </c>
      <c r="B3" s="7">
        <v>111</v>
      </c>
      <c r="C3" s="2" t="s">
        <v>23</v>
      </c>
      <c r="D3" s="2">
        <v>1</v>
      </c>
      <c r="E3" s="2">
        <v>1</v>
      </c>
      <c r="F3" s="3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</row>
    <row r="4" spans="1:11">
      <c r="A4" s="2">
        <v>2</v>
      </c>
      <c r="B4" s="7">
        <v>115</v>
      </c>
      <c r="C4" s="2" t="s">
        <v>21</v>
      </c>
      <c r="D4" s="2">
        <v>1</v>
      </c>
      <c r="E4" s="2">
        <v>1</v>
      </c>
      <c r="F4" s="3">
        <v>2</v>
      </c>
      <c r="G4" s="2">
        <v>5</v>
      </c>
      <c r="H4" s="2">
        <v>5</v>
      </c>
      <c r="I4" s="2">
        <v>5</v>
      </c>
      <c r="J4" s="2">
        <v>5</v>
      </c>
      <c r="K4" s="2">
        <v>6</v>
      </c>
    </row>
    <row r="5" spans="1:11">
      <c r="A5" s="2">
        <v>3</v>
      </c>
      <c r="B5" s="7">
        <v>116</v>
      </c>
      <c r="C5" s="2" t="s">
        <v>25</v>
      </c>
      <c r="D5" s="2">
        <v>2</v>
      </c>
      <c r="E5" s="2">
        <v>2</v>
      </c>
      <c r="F5" s="3">
        <v>4</v>
      </c>
      <c r="G5" s="2">
        <v>4</v>
      </c>
      <c r="H5" s="2">
        <v>5</v>
      </c>
      <c r="I5" s="2">
        <v>5</v>
      </c>
      <c r="J5" s="3">
        <v>6</v>
      </c>
      <c r="K5" s="3">
        <v>8</v>
      </c>
    </row>
    <row r="6" spans="1:11">
      <c r="A6" s="2">
        <v>4</v>
      </c>
      <c r="B6" s="7">
        <v>117</v>
      </c>
      <c r="C6" s="2" t="s">
        <v>18</v>
      </c>
      <c r="D6" s="2">
        <v>3</v>
      </c>
      <c r="E6" s="2">
        <v>5</v>
      </c>
      <c r="F6" s="3">
        <v>5</v>
      </c>
      <c r="G6" s="3">
        <v>7</v>
      </c>
      <c r="H6" s="3">
        <v>7</v>
      </c>
      <c r="I6" s="2">
        <v>7</v>
      </c>
      <c r="J6" s="3">
        <v>10</v>
      </c>
      <c r="K6" s="3">
        <v>11</v>
      </c>
    </row>
    <row r="7" spans="1:11">
      <c r="A7" s="2">
        <v>5</v>
      </c>
      <c r="B7" s="7">
        <v>118</v>
      </c>
      <c r="C7" s="2" t="s">
        <v>24</v>
      </c>
      <c r="D7" s="2">
        <v>0</v>
      </c>
      <c r="E7" s="3">
        <v>0</v>
      </c>
      <c r="F7" s="3">
        <v>3</v>
      </c>
      <c r="G7" s="3">
        <v>7</v>
      </c>
      <c r="H7" s="3">
        <v>9</v>
      </c>
      <c r="I7" s="2">
        <v>9</v>
      </c>
      <c r="J7" s="3">
        <v>10</v>
      </c>
      <c r="K7" s="3">
        <v>13</v>
      </c>
    </row>
    <row r="8" spans="1:11">
      <c r="A8" s="2">
        <v>6</v>
      </c>
      <c r="B8" s="7">
        <v>119</v>
      </c>
      <c r="C8" s="2" t="s">
        <v>16</v>
      </c>
      <c r="D8" s="2">
        <v>4</v>
      </c>
      <c r="E8" s="2">
        <v>4</v>
      </c>
      <c r="F8" s="3">
        <v>4</v>
      </c>
      <c r="G8" s="3">
        <v>5</v>
      </c>
      <c r="H8" s="3">
        <v>5</v>
      </c>
      <c r="I8" s="2">
        <v>8</v>
      </c>
      <c r="J8" s="3">
        <v>12</v>
      </c>
      <c r="K8" s="3">
        <v>13</v>
      </c>
    </row>
    <row r="9" spans="1:11">
      <c r="A9" s="2">
        <v>7</v>
      </c>
      <c r="B9" s="7">
        <v>125</v>
      </c>
      <c r="C9" s="2" t="s">
        <v>20</v>
      </c>
      <c r="D9" s="2">
        <v>3</v>
      </c>
      <c r="E9" s="2">
        <v>3</v>
      </c>
      <c r="F9" s="3">
        <v>3</v>
      </c>
      <c r="G9" s="3">
        <v>5</v>
      </c>
      <c r="H9" s="3">
        <v>6</v>
      </c>
      <c r="I9" s="2">
        <v>6</v>
      </c>
      <c r="J9" s="3">
        <v>7</v>
      </c>
      <c r="K9" s="3">
        <v>8</v>
      </c>
    </row>
    <row r="10" spans="1:11">
      <c r="A10" s="2">
        <v>8</v>
      </c>
      <c r="B10" s="7">
        <v>126</v>
      </c>
      <c r="C10" s="2" t="s">
        <v>26</v>
      </c>
      <c r="D10" s="2">
        <v>7</v>
      </c>
      <c r="E10" s="2">
        <v>8</v>
      </c>
      <c r="F10" s="3">
        <v>8</v>
      </c>
      <c r="G10" s="3">
        <v>9</v>
      </c>
      <c r="H10" s="3">
        <v>11</v>
      </c>
      <c r="I10" s="2">
        <v>13</v>
      </c>
      <c r="J10" s="3">
        <v>15</v>
      </c>
      <c r="K10" s="3">
        <v>18</v>
      </c>
    </row>
    <row r="11" spans="1:11">
      <c r="A11" s="2">
        <v>9</v>
      </c>
      <c r="B11" s="7">
        <v>127</v>
      </c>
      <c r="C11" s="2" t="s">
        <v>22</v>
      </c>
      <c r="D11" s="2">
        <v>20</v>
      </c>
      <c r="E11" s="2">
        <v>25</v>
      </c>
      <c r="F11" s="3">
        <v>22</v>
      </c>
      <c r="G11" s="3">
        <v>26</v>
      </c>
      <c r="H11" s="3">
        <v>26</v>
      </c>
      <c r="I11" s="2">
        <v>31</v>
      </c>
      <c r="J11" s="3">
        <v>41</v>
      </c>
      <c r="K11" s="3">
        <v>46</v>
      </c>
    </row>
    <row r="12" spans="1:11">
      <c r="A12" s="2">
        <v>10</v>
      </c>
      <c r="B12" s="8">
        <v>128</v>
      </c>
      <c r="C12" s="3" t="s">
        <v>39</v>
      </c>
      <c r="D12" s="3">
        <v>5</v>
      </c>
      <c r="E12" s="2">
        <v>6</v>
      </c>
      <c r="F12" s="3">
        <v>7</v>
      </c>
      <c r="G12" s="3">
        <v>9</v>
      </c>
      <c r="H12" s="3">
        <v>8</v>
      </c>
      <c r="I12" s="2">
        <v>8</v>
      </c>
      <c r="J12" s="3">
        <v>10</v>
      </c>
      <c r="K12" s="3">
        <v>15</v>
      </c>
    </row>
    <row r="13" spans="1:11">
      <c r="A13" s="2">
        <v>11</v>
      </c>
      <c r="B13" s="7">
        <v>135</v>
      </c>
      <c r="C13" s="2" t="s">
        <v>19</v>
      </c>
      <c r="D13" s="2">
        <v>11</v>
      </c>
      <c r="E13" s="2">
        <v>13</v>
      </c>
      <c r="F13" s="3">
        <v>15</v>
      </c>
      <c r="G13" s="3">
        <v>15</v>
      </c>
      <c r="H13" s="3">
        <v>15</v>
      </c>
      <c r="I13" s="2">
        <v>18</v>
      </c>
      <c r="J13" s="3">
        <v>20</v>
      </c>
      <c r="K13" s="3">
        <v>26</v>
      </c>
    </row>
    <row r="14" spans="1:11">
      <c r="A14" s="2">
        <v>12</v>
      </c>
      <c r="B14" s="7">
        <v>136</v>
      </c>
      <c r="C14" s="2" t="s">
        <v>17</v>
      </c>
      <c r="D14" s="2">
        <v>6</v>
      </c>
      <c r="E14" s="2">
        <v>7</v>
      </c>
      <c r="F14" s="3">
        <v>10</v>
      </c>
      <c r="G14" s="3">
        <v>10</v>
      </c>
      <c r="H14" s="3">
        <v>11</v>
      </c>
      <c r="I14" s="2">
        <v>12</v>
      </c>
      <c r="J14" s="3">
        <v>16</v>
      </c>
      <c r="K14" s="3">
        <v>20</v>
      </c>
    </row>
    <row r="15" spans="1:11">
      <c r="A15" s="2">
        <v>13</v>
      </c>
      <c r="B15" s="7">
        <v>215</v>
      </c>
      <c r="C15" s="2" t="s">
        <v>28</v>
      </c>
      <c r="D15" s="2">
        <v>2</v>
      </c>
      <c r="E15" s="2">
        <v>2</v>
      </c>
      <c r="F15" s="3">
        <v>3</v>
      </c>
      <c r="G15" s="3">
        <v>3</v>
      </c>
      <c r="H15" s="3">
        <v>3</v>
      </c>
      <c r="I15" s="2">
        <v>4</v>
      </c>
      <c r="J15" s="3">
        <v>6</v>
      </c>
      <c r="K15" s="3">
        <v>6</v>
      </c>
    </row>
    <row r="16" spans="1:11">
      <c r="A16" s="2">
        <v>14</v>
      </c>
      <c r="B16" s="7">
        <v>216</v>
      </c>
      <c r="C16" s="2" t="s">
        <v>33</v>
      </c>
      <c r="D16" s="2">
        <v>0</v>
      </c>
      <c r="E16" s="3">
        <v>0</v>
      </c>
      <c r="F16" s="3">
        <v>1</v>
      </c>
      <c r="G16" s="3">
        <v>3</v>
      </c>
      <c r="H16" s="3">
        <v>3</v>
      </c>
      <c r="I16" s="2">
        <v>3</v>
      </c>
      <c r="J16" s="3">
        <v>3</v>
      </c>
      <c r="K16" s="3">
        <v>3</v>
      </c>
    </row>
    <row r="17" spans="1:11">
      <c r="A17" s="2">
        <v>15</v>
      </c>
      <c r="B17" s="7">
        <v>225</v>
      </c>
      <c r="C17" s="2" t="s">
        <v>27</v>
      </c>
      <c r="D17" s="2">
        <v>2</v>
      </c>
      <c r="E17" s="2">
        <v>2</v>
      </c>
      <c r="F17" s="3">
        <v>4</v>
      </c>
      <c r="G17" s="3">
        <v>4</v>
      </c>
      <c r="H17" s="3">
        <v>6</v>
      </c>
      <c r="I17" s="2">
        <v>6</v>
      </c>
      <c r="J17" s="3">
        <v>6</v>
      </c>
      <c r="K17" s="3">
        <v>10</v>
      </c>
    </row>
    <row r="18" spans="1:11">
      <c r="A18" s="2">
        <v>16</v>
      </c>
      <c r="B18" s="7">
        <v>226</v>
      </c>
      <c r="C18" s="2" t="s">
        <v>31</v>
      </c>
      <c r="D18" s="2">
        <v>5</v>
      </c>
      <c r="E18" s="2">
        <v>5</v>
      </c>
      <c r="F18" s="3">
        <v>7</v>
      </c>
      <c r="G18" s="3">
        <v>8</v>
      </c>
      <c r="H18" s="3">
        <v>9</v>
      </c>
      <c r="I18" s="2">
        <v>9</v>
      </c>
      <c r="J18" s="3">
        <v>9</v>
      </c>
      <c r="K18" s="3">
        <v>10</v>
      </c>
    </row>
    <row r="19" spans="1:11">
      <c r="A19" s="2">
        <v>17</v>
      </c>
      <c r="B19" s="7">
        <v>235</v>
      </c>
      <c r="C19" s="2" t="s">
        <v>32</v>
      </c>
      <c r="D19" s="2">
        <v>2</v>
      </c>
      <c r="E19" s="2">
        <v>2</v>
      </c>
      <c r="F19" s="3">
        <v>1</v>
      </c>
      <c r="G19" s="3">
        <v>1</v>
      </c>
      <c r="H19" s="3">
        <v>1</v>
      </c>
      <c r="I19" s="2">
        <v>2</v>
      </c>
      <c r="J19" s="3">
        <v>3</v>
      </c>
      <c r="K19" s="3">
        <v>7</v>
      </c>
    </row>
    <row r="20" spans="1:11">
      <c r="A20" s="2">
        <v>18</v>
      </c>
      <c r="B20" s="7">
        <v>236</v>
      </c>
      <c r="C20" s="2" t="s">
        <v>30</v>
      </c>
      <c r="D20" s="2">
        <v>2</v>
      </c>
      <c r="E20" s="2">
        <v>2</v>
      </c>
      <c r="F20" s="3">
        <v>3</v>
      </c>
      <c r="G20" s="3">
        <v>5</v>
      </c>
      <c r="H20" s="3">
        <v>6</v>
      </c>
      <c r="I20" s="2">
        <v>6</v>
      </c>
      <c r="J20" s="3">
        <v>7</v>
      </c>
      <c r="K20" s="3">
        <v>7</v>
      </c>
    </row>
    <row r="21" spans="1:11">
      <c r="A21" s="2">
        <v>19</v>
      </c>
      <c r="B21" s="7">
        <v>237</v>
      </c>
      <c r="C21" s="2" t="s">
        <v>29</v>
      </c>
      <c r="D21" s="2">
        <v>3</v>
      </c>
      <c r="E21" s="2">
        <v>5</v>
      </c>
      <c r="F21" s="3">
        <v>5</v>
      </c>
      <c r="G21" s="3">
        <v>9</v>
      </c>
      <c r="H21" s="3">
        <v>10</v>
      </c>
      <c r="I21" s="2">
        <v>11</v>
      </c>
      <c r="J21" s="3">
        <v>11</v>
      </c>
      <c r="K21" s="3">
        <v>12</v>
      </c>
    </row>
    <row r="22" spans="1:11">
      <c r="A22" s="2">
        <v>20</v>
      </c>
      <c r="B22" s="7">
        <v>315</v>
      </c>
      <c r="C22" s="2" t="s">
        <v>2</v>
      </c>
      <c r="D22" s="2">
        <v>7</v>
      </c>
      <c r="E22" s="2">
        <v>8</v>
      </c>
      <c r="F22" s="3">
        <v>10</v>
      </c>
      <c r="G22" s="3">
        <v>10</v>
      </c>
      <c r="H22" s="3">
        <v>10</v>
      </c>
      <c r="I22" s="2">
        <v>10</v>
      </c>
      <c r="J22" s="3">
        <v>10</v>
      </c>
      <c r="K22" s="3">
        <v>10</v>
      </c>
    </row>
    <row r="23" spans="1:11" s="3" customFormat="1">
      <c r="A23" s="2">
        <v>21</v>
      </c>
      <c r="B23" s="7">
        <v>316</v>
      </c>
      <c r="C23" s="2" t="s">
        <v>1</v>
      </c>
      <c r="D23" s="2">
        <v>2</v>
      </c>
      <c r="E23" s="3">
        <v>2</v>
      </c>
      <c r="F23" s="3">
        <v>4</v>
      </c>
      <c r="G23" s="3">
        <v>5</v>
      </c>
      <c r="H23" s="3">
        <v>5</v>
      </c>
      <c r="I23" s="2">
        <v>6</v>
      </c>
      <c r="J23" s="3">
        <v>7</v>
      </c>
      <c r="K23" s="3">
        <v>8</v>
      </c>
    </row>
    <row r="24" spans="1:11">
      <c r="A24" s="2">
        <v>22</v>
      </c>
      <c r="B24" s="7">
        <v>317</v>
      </c>
      <c r="C24" s="2" t="s">
        <v>3</v>
      </c>
      <c r="D24" s="2">
        <v>1</v>
      </c>
      <c r="E24" s="2">
        <v>2</v>
      </c>
      <c r="F24" s="3">
        <v>9</v>
      </c>
      <c r="G24" s="3">
        <v>9</v>
      </c>
      <c r="H24" s="3">
        <v>9</v>
      </c>
      <c r="I24" s="2">
        <v>11</v>
      </c>
      <c r="J24" s="3">
        <v>10</v>
      </c>
      <c r="K24" s="3">
        <v>11</v>
      </c>
    </row>
    <row r="25" spans="1:11">
      <c r="A25" s="2">
        <v>23</v>
      </c>
      <c r="B25" s="7">
        <v>325</v>
      </c>
      <c r="C25" s="2" t="s">
        <v>4</v>
      </c>
      <c r="D25" s="2">
        <v>5</v>
      </c>
      <c r="E25" s="2">
        <v>8</v>
      </c>
      <c r="F25" s="3">
        <v>15</v>
      </c>
      <c r="G25" s="3">
        <v>19</v>
      </c>
      <c r="H25" s="3">
        <v>21</v>
      </c>
      <c r="I25" s="2">
        <v>22</v>
      </c>
      <c r="J25" s="3">
        <v>24</v>
      </c>
      <c r="K25" s="3">
        <v>26</v>
      </c>
    </row>
    <row r="26" spans="1:11">
      <c r="A26" s="2">
        <v>24</v>
      </c>
      <c r="B26" s="7">
        <v>326</v>
      </c>
      <c r="C26" s="2" t="s">
        <v>0</v>
      </c>
      <c r="D26" s="2">
        <v>23</v>
      </c>
      <c r="E26" s="2">
        <v>25</v>
      </c>
      <c r="F26" s="3">
        <v>34</v>
      </c>
      <c r="G26" s="3">
        <v>34</v>
      </c>
      <c r="H26" s="3">
        <v>35</v>
      </c>
      <c r="I26" s="2">
        <v>36</v>
      </c>
      <c r="J26" s="3">
        <v>39</v>
      </c>
      <c r="K26" s="3">
        <v>41</v>
      </c>
    </row>
    <row r="27" spans="1:11">
      <c r="A27" s="2">
        <v>25</v>
      </c>
      <c r="B27" s="7">
        <v>327</v>
      </c>
      <c r="C27" s="2" t="s">
        <v>6</v>
      </c>
      <c r="D27" s="2">
        <v>11</v>
      </c>
      <c r="E27" s="2">
        <v>13</v>
      </c>
      <c r="F27" s="3">
        <v>16</v>
      </c>
      <c r="G27" s="3">
        <v>17</v>
      </c>
      <c r="H27" s="3">
        <v>17</v>
      </c>
      <c r="I27" s="2">
        <v>17</v>
      </c>
      <c r="J27" s="3">
        <v>20</v>
      </c>
      <c r="K27" s="3">
        <v>20</v>
      </c>
    </row>
    <row r="28" spans="1:11">
      <c r="A28" s="2">
        <v>26</v>
      </c>
      <c r="B28" s="7">
        <v>335</v>
      </c>
      <c r="C28" s="2" t="s">
        <v>5</v>
      </c>
      <c r="D28" s="2">
        <v>15</v>
      </c>
      <c r="E28" s="2">
        <v>20</v>
      </c>
      <c r="F28" s="3">
        <v>25</v>
      </c>
      <c r="G28" s="3">
        <v>25</v>
      </c>
      <c r="H28" s="3">
        <v>28</v>
      </c>
      <c r="I28" s="2">
        <v>29</v>
      </c>
      <c r="J28" s="3">
        <v>32</v>
      </c>
      <c r="K28" s="3">
        <v>32</v>
      </c>
    </row>
    <row r="29" spans="1:11">
      <c r="A29" s="2">
        <v>27</v>
      </c>
      <c r="B29" s="7">
        <v>336</v>
      </c>
      <c r="C29" s="2" t="s">
        <v>38</v>
      </c>
      <c r="D29" s="2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1</v>
      </c>
    </row>
    <row r="30" spans="1:11">
      <c r="A30" s="2">
        <v>28</v>
      </c>
      <c r="B30" s="7">
        <v>337</v>
      </c>
      <c r="C30" s="2" t="s">
        <v>7</v>
      </c>
      <c r="D30" s="2">
        <v>12</v>
      </c>
      <c r="E30" s="2">
        <v>15</v>
      </c>
      <c r="F30" s="3">
        <v>22</v>
      </c>
      <c r="G30" s="3">
        <v>23</v>
      </c>
      <c r="H30" s="3">
        <v>26</v>
      </c>
      <c r="I30" s="2">
        <v>28</v>
      </c>
      <c r="J30" s="3">
        <v>29</v>
      </c>
      <c r="K30" s="3">
        <v>30</v>
      </c>
    </row>
    <row r="31" spans="1:11">
      <c r="A31" s="2">
        <v>29</v>
      </c>
      <c r="B31" s="7">
        <v>415</v>
      </c>
      <c r="C31" s="2" t="s">
        <v>11</v>
      </c>
      <c r="D31" s="2">
        <v>8</v>
      </c>
      <c r="E31" s="2">
        <v>12</v>
      </c>
      <c r="F31" s="3">
        <v>18</v>
      </c>
      <c r="G31" s="3">
        <v>21</v>
      </c>
      <c r="H31" s="3">
        <v>22</v>
      </c>
      <c r="I31" s="2">
        <v>25</v>
      </c>
      <c r="J31" s="3">
        <v>30</v>
      </c>
      <c r="K31" s="3">
        <v>34</v>
      </c>
    </row>
    <row r="32" spans="1:11">
      <c r="A32" s="2">
        <v>30</v>
      </c>
      <c r="B32" s="7">
        <v>416</v>
      </c>
      <c r="C32" s="2" t="s">
        <v>13</v>
      </c>
      <c r="D32" s="2">
        <v>5</v>
      </c>
      <c r="E32" s="2">
        <v>6</v>
      </c>
      <c r="F32" s="3">
        <v>10</v>
      </c>
      <c r="G32" s="3">
        <v>10</v>
      </c>
      <c r="H32" s="3">
        <v>10</v>
      </c>
      <c r="I32" s="2">
        <v>10</v>
      </c>
      <c r="J32" s="3">
        <v>13</v>
      </c>
      <c r="K32" s="3">
        <v>15</v>
      </c>
    </row>
    <row r="33" spans="1:11">
      <c r="A33" s="2">
        <v>31</v>
      </c>
      <c r="B33" s="7">
        <v>417</v>
      </c>
      <c r="C33" s="2" t="s">
        <v>8</v>
      </c>
      <c r="D33" s="2">
        <v>6</v>
      </c>
      <c r="E33" s="2">
        <v>7</v>
      </c>
      <c r="F33" s="3">
        <v>10</v>
      </c>
      <c r="G33" s="3">
        <v>10</v>
      </c>
      <c r="H33" s="3">
        <v>10</v>
      </c>
      <c r="I33" s="2">
        <v>11</v>
      </c>
      <c r="J33" s="3">
        <v>14</v>
      </c>
      <c r="K33" s="3">
        <v>14</v>
      </c>
    </row>
    <row r="34" spans="1:11">
      <c r="A34" s="2">
        <v>32</v>
      </c>
      <c r="B34" s="7">
        <v>425</v>
      </c>
      <c r="C34" s="2" t="s">
        <v>15</v>
      </c>
      <c r="D34" s="2">
        <v>14</v>
      </c>
      <c r="E34" s="2">
        <v>17</v>
      </c>
      <c r="F34" s="3">
        <v>38</v>
      </c>
      <c r="G34" s="3">
        <v>39</v>
      </c>
      <c r="H34" s="3">
        <v>39</v>
      </c>
      <c r="I34" s="2">
        <v>50</v>
      </c>
      <c r="J34" s="3">
        <v>65</v>
      </c>
      <c r="K34" s="3">
        <v>73</v>
      </c>
    </row>
    <row r="35" spans="1:11">
      <c r="A35" s="2">
        <v>33</v>
      </c>
      <c r="B35" s="7">
        <v>426</v>
      </c>
      <c r="C35" s="2" t="s">
        <v>9</v>
      </c>
      <c r="D35" s="2">
        <v>27</v>
      </c>
      <c r="E35" s="2">
        <v>36</v>
      </c>
      <c r="F35" s="3">
        <v>55</v>
      </c>
      <c r="G35" s="3">
        <v>60</v>
      </c>
      <c r="H35" s="3">
        <v>64</v>
      </c>
      <c r="I35" s="2">
        <v>65</v>
      </c>
      <c r="J35" s="3">
        <v>74</v>
      </c>
      <c r="K35" s="3">
        <v>78</v>
      </c>
    </row>
    <row r="36" spans="1:11">
      <c r="A36" s="2">
        <v>34</v>
      </c>
      <c r="B36" s="7">
        <v>435</v>
      </c>
      <c r="C36" s="2" t="s">
        <v>10</v>
      </c>
      <c r="D36" s="2">
        <v>8</v>
      </c>
      <c r="E36" s="2">
        <v>11</v>
      </c>
      <c r="F36" s="3">
        <v>12</v>
      </c>
      <c r="G36" s="3">
        <v>12</v>
      </c>
      <c r="H36" s="3">
        <v>12</v>
      </c>
      <c r="I36" s="2">
        <v>14</v>
      </c>
      <c r="J36" s="3">
        <v>14</v>
      </c>
      <c r="K36" s="3">
        <v>17</v>
      </c>
    </row>
    <row r="37" spans="1:11">
      <c r="A37" s="2">
        <v>35</v>
      </c>
      <c r="B37" s="7">
        <v>436</v>
      </c>
      <c r="C37" s="2" t="s">
        <v>12</v>
      </c>
      <c r="D37" s="2">
        <v>47</v>
      </c>
      <c r="E37" s="2">
        <v>53</v>
      </c>
      <c r="F37" s="3">
        <v>70</v>
      </c>
      <c r="G37" s="3">
        <v>72</v>
      </c>
      <c r="H37" s="3">
        <v>72</v>
      </c>
      <c r="I37" s="2">
        <v>78</v>
      </c>
      <c r="J37" s="3">
        <v>88</v>
      </c>
      <c r="K37" s="3">
        <v>98</v>
      </c>
    </row>
    <row r="38" spans="1:11">
      <c r="A38" s="2">
        <v>36</v>
      </c>
      <c r="B38" s="7">
        <v>437</v>
      </c>
      <c r="C38" s="2" t="s">
        <v>14</v>
      </c>
      <c r="D38" s="2">
        <v>13</v>
      </c>
      <c r="E38" s="2">
        <v>18</v>
      </c>
      <c r="F38" s="3">
        <v>29</v>
      </c>
      <c r="G38" s="3">
        <v>30</v>
      </c>
      <c r="H38" s="3">
        <v>31</v>
      </c>
      <c r="I38" s="2">
        <v>36</v>
      </c>
      <c r="J38" s="3">
        <v>42</v>
      </c>
      <c r="K38" s="3">
        <v>48</v>
      </c>
    </row>
    <row r="39" spans="1:11">
      <c r="A39" s="2">
        <v>37</v>
      </c>
      <c r="B39" s="7">
        <v>999</v>
      </c>
      <c r="C39" s="2" t="s">
        <v>34</v>
      </c>
      <c r="D39" s="2">
        <f t="shared" ref="D39:K39" si="0">SUM(D3:D38)</f>
        <v>283</v>
      </c>
      <c r="E39" s="2">
        <f>SUM(E3:E38)</f>
        <v>346</v>
      </c>
      <c r="F39" s="2">
        <f t="shared" si="0"/>
        <v>485</v>
      </c>
      <c r="G39" s="2">
        <f t="shared" si="0"/>
        <v>532</v>
      </c>
      <c r="H39" s="2">
        <f t="shared" si="0"/>
        <v>558</v>
      </c>
      <c r="I39" s="2">
        <f>SUM(I3:I38)</f>
        <v>612</v>
      </c>
      <c r="J39" s="2">
        <f t="shared" si="0"/>
        <v>709</v>
      </c>
      <c r="K39" s="2">
        <f t="shared" si="0"/>
        <v>796</v>
      </c>
    </row>
    <row r="41" spans="1:11">
      <c r="B41" s="11" t="s">
        <v>41</v>
      </c>
      <c r="C41" s="11"/>
      <c r="D41" s="11">
        <v>38352</v>
      </c>
      <c r="E41" s="11">
        <v>38564</v>
      </c>
      <c r="F41" s="11">
        <v>39082</v>
      </c>
      <c r="G41" s="11">
        <v>39447</v>
      </c>
      <c r="H41" s="11">
        <v>39813</v>
      </c>
      <c r="I41" s="11">
        <v>40178</v>
      </c>
      <c r="J41" s="11">
        <v>40543</v>
      </c>
      <c r="K41" s="11">
        <v>40908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K41" sqref="K41"/>
    </sheetView>
  </sheetViews>
  <sheetFormatPr baseColWidth="10" defaultRowHeight="12.75"/>
  <cols>
    <col min="1" max="1" width="3" style="2" bestFit="1" customWidth="1"/>
    <col min="2" max="2" width="7.5703125" style="7" customWidth="1"/>
    <col min="3" max="3" width="24" style="2" bestFit="1" customWidth="1"/>
    <col min="4" max="11" width="11.42578125" style="2"/>
    <col min="12" max="12" width="16.42578125" style="2" bestFit="1" customWidth="1"/>
    <col min="13" max="16384" width="11.42578125" style="2"/>
  </cols>
  <sheetData>
    <row r="1" spans="1:11">
      <c r="D1" s="9" t="s">
        <v>40</v>
      </c>
      <c r="E1" s="1"/>
      <c r="F1" s="1"/>
      <c r="G1" s="1"/>
      <c r="H1" s="1"/>
      <c r="I1" s="1"/>
    </row>
    <row r="2" spans="1:11">
      <c r="B2" s="4" t="s">
        <v>35</v>
      </c>
      <c r="C2" s="5" t="s">
        <v>36</v>
      </c>
      <c r="D2" s="6">
        <v>2004</v>
      </c>
      <c r="E2" s="6">
        <v>2005</v>
      </c>
      <c r="F2" s="6">
        <v>2006</v>
      </c>
      <c r="G2" s="6">
        <v>2007</v>
      </c>
      <c r="H2" s="6">
        <v>2008</v>
      </c>
      <c r="I2" s="6">
        <v>2009</v>
      </c>
      <c r="J2" s="6">
        <v>2010</v>
      </c>
      <c r="K2" s="6">
        <v>2011</v>
      </c>
    </row>
    <row r="3" spans="1:11">
      <c r="A3" s="2">
        <v>1</v>
      </c>
      <c r="B3" s="7">
        <v>111</v>
      </c>
      <c r="C3" s="2" t="s">
        <v>23</v>
      </c>
      <c r="D3" s="2">
        <v>65</v>
      </c>
      <c r="E3" s="2">
        <v>65</v>
      </c>
      <c r="F3" s="3">
        <v>130</v>
      </c>
      <c r="G3" s="2">
        <v>130</v>
      </c>
      <c r="H3" s="2">
        <v>130</v>
      </c>
      <c r="I3" s="2">
        <v>130</v>
      </c>
      <c r="J3" s="2">
        <v>130</v>
      </c>
      <c r="K3" s="2">
        <v>130</v>
      </c>
    </row>
    <row r="4" spans="1:11">
      <c r="A4" s="2">
        <v>2</v>
      </c>
      <c r="B4" s="7">
        <v>115</v>
      </c>
      <c r="C4" s="2" t="s">
        <v>21</v>
      </c>
      <c r="D4" s="2">
        <v>110</v>
      </c>
      <c r="E4" s="2">
        <v>110</v>
      </c>
      <c r="F4" s="3">
        <v>360</v>
      </c>
      <c r="G4" s="2">
        <v>1430</v>
      </c>
      <c r="H4" s="2">
        <v>1430</v>
      </c>
      <c r="I4" s="2">
        <v>1512</v>
      </c>
      <c r="J4" s="2">
        <v>1512</v>
      </c>
      <c r="K4" s="2">
        <v>2002</v>
      </c>
    </row>
    <row r="5" spans="1:11">
      <c r="A5" s="2">
        <v>3</v>
      </c>
      <c r="B5" s="7">
        <v>116</v>
      </c>
      <c r="C5" s="2" t="s">
        <v>25</v>
      </c>
      <c r="D5" s="2">
        <v>155</v>
      </c>
      <c r="E5" s="2">
        <v>155</v>
      </c>
      <c r="F5" s="3">
        <v>445</v>
      </c>
      <c r="G5" s="2">
        <v>445</v>
      </c>
      <c r="H5" s="2">
        <v>905</v>
      </c>
      <c r="I5" s="2">
        <v>960</v>
      </c>
      <c r="J5" s="3">
        <v>1300</v>
      </c>
      <c r="K5" s="3">
        <v>1730</v>
      </c>
    </row>
    <row r="6" spans="1:11">
      <c r="A6" s="2">
        <v>4</v>
      </c>
      <c r="B6" s="7">
        <v>117</v>
      </c>
      <c r="C6" s="2" t="s">
        <v>18</v>
      </c>
      <c r="D6" s="3">
        <v>250</v>
      </c>
      <c r="E6" s="2">
        <v>425</v>
      </c>
      <c r="F6" s="3">
        <v>425</v>
      </c>
      <c r="G6" s="3">
        <v>1775</v>
      </c>
      <c r="H6" s="3">
        <v>1970</v>
      </c>
      <c r="I6" s="2">
        <v>1818</v>
      </c>
      <c r="J6" s="3">
        <v>2618</v>
      </c>
      <c r="K6" s="3">
        <v>3730</v>
      </c>
    </row>
    <row r="7" spans="1:11">
      <c r="A7" s="2">
        <v>5</v>
      </c>
      <c r="B7" s="7">
        <v>118</v>
      </c>
      <c r="C7" s="2" t="s">
        <v>24</v>
      </c>
      <c r="D7" s="3">
        <v>0</v>
      </c>
      <c r="E7" s="3">
        <v>0</v>
      </c>
      <c r="F7" s="3">
        <v>1280</v>
      </c>
      <c r="G7" s="3">
        <v>3495</v>
      </c>
      <c r="H7" s="3">
        <v>4365</v>
      </c>
      <c r="I7" s="2">
        <v>4417</v>
      </c>
      <c r="J7" s="3">
        <v>5117</v>
      </c>
      <c r="K7" s="3">
        <v>8127</v>
      </c>
    </row>
    <row r="8" spans="1:11">
      <c r="A8" s="2">
        <v>6</v>
      </c>
      <c r="B8" s="7">
        <v>119</v>
      </c>
      <c r="C8" s="2" t="s">
        <v>16</v>
      </c>
      <c r="D8" s="3">
        <v>200</v>
      </c>
      <c r="E8" s="2">
        <v>200</v>
      </c>
      <c r="F8" s="3">
        <v>200</v>
      </c>
      <c r="G8" s="3">
        <v>390</v>
      </c>
      <c r="H8" s="3">
        <v>450</v>
      </c>
      <c r="I8" s="2">
        <v>1180</v>
      </c>
      <c r="J8" s="3">
        <v>2120</v>
      </c>
      <c r="K8" s="3">
        <v>3680</v>
      </c>
    </row>
    <row r="9" spans="1:11">
      <c r="A9" s="2">
        <v>7</v>
      </c>
      <c r="B9" s="7">
        <v>125</v>
      </c>
      <c r="C9" s="2" t="s">
        <v>20</v>
      </c>
      <c r="D9" s="3">
        <v>190</v>
      </c>
      <c r="E9" s="2">
        <v>190</v>
      </c>
      <c r="F9" s="3">
        <v>360</v>
      </c>
      <c r="G9" s="3">
        <v>880</v>
      </c>
      <c r="H9" s="3">
        <v>2410</v>
      </c>
      <c r="I9" s="2">
        <v>2271</v>
      </c>
      <c r="J9" s="3">
        <v>2511</v>
      </c>
      <c r="K9" s="3">
        <v>4575</v>
      </c>
    </row>
    <row r="10" spans="1:11">
      <c r="A10" s="2">
        <v>8</v>
      </c>
      <c r="B10" s="7">
        <v>126</v>
      </c>
      <c r="C10" s="2" t="s">
        <v>26</v>
      </c>
      <c r="D10" s="3">
        <v>1005</v>
      </c>
      <c r="E10" s="2">
        <v>1185</v>
      </c>
      <c r="F10" s="3">
        <v>1205</v>
      </c>
      <c r="G10" s="3">
        <v>1385</v>
      </c>
      <c r="H10" s="3">
        <v>1945</v>
      </c>
      <c r="I10" s="2">
        <v>2680</v>
      </c>
      <c r="J10" s="3">
        <v>3410</v>
      </c>
      <c r="K10" s="3">
        <v>5705</v>
      </c>
    </row>
    <row r="11" spans="1:11">
      <c r="A11" s="2">
        <v>9</v>
      </c>
      <c r="B11" s="7">
        <v>127</v>
      </c>
      <c r="C11" s="2" t="s">
        <v>22</v>
      </c>
      <c r="D11" s="3">
        <v>1805</v>
      </c>
      <c r="E11" s="2">
        <v>2715</v>
      </c>
      <c r="F11" s="3">
        <v>3920</v>
      </c>
      <c r="G11" s="3">
        <v>5380</v>
      </c>
      <c r="H11" s="3">
        <v>5840</v>
      </c>
      <c r="I11" s="2">
        <v>7566</v>
      </c>
      <c r="J11" s="3">
        <v>10880</v>
      </c>
      <c r="K11" s="3">
        <v>14372</v>
      </c>
    </row>
    <row r="12" spans="1:11">
      <c r="A12" s="2">
        <v>10</v>
      </c>
      <c r="B12" s="8">
        <v>128</v>
      </c>
      <c r="C12" s="3" t="s">
        <v>39</v>
      </c>
      <c r="D12" s="3">
        <v>460</v>
      </c>
      <c r="E12" s="2">
        <v>740</v>
      </c>
      <c r="F12" s="3">
        <v>1350</v>
      </c>
      <c r="G12" s="3">
        <v>2220</v>
      </c>
      <c r="H12" s="3">
        <v>1720</v>
      </c>
      <c r="I12" s="2">
        <v>2014</v>
      </c>
      <c r="J12" s="3">
        <v>2514</v>
      </c>
      <c r="K12" s="3">
        <v>4200</v>
      </c>
    </row>
    <row r="13" spans="1:11">
      <c r="A13" s="2">
        <v>11</v>
      </c>
      <c r="B13" s="7">
        <v>135</v>
      </c>
      <c r="C13" s="2" t="s">
        <v>19</v>
      </c>
      <c r="D13" s="3">
        <v>840</v>
      </c>
      <c r="E13" s="2">
        <v>1320</v>
      </c>
      <c r="F13" s="3">
        <v>1905</v>
      </c>
      <c r="G13" s="3">
        <v>1905</v>
      </c>
      <c r="H13" s="3">
        <v>1965</v>
      </c>
      <c r="I13" s="2">
        <v>3164</v>
      </c>
      <c r="J13" s="3">
        <v>3256</v>
      </c>
      <c r="K13" s="3">
        <v>5216</v>
      </c>
    </row>
    <row r="14" spans="1:11">
      <c r="A14" s="2">
        <v>12</v>
      </c>
      <c r="B14" s="7">
        <v>136</v>
      </c>
      <c r="C14" s="2" t="s">
        <v>17</v>
      </c>
      <c r="D14" s="3">
        <v>810</v>
      </c>
      <c r="E14" s="2">
        <v>990</v>
      </c>
      <c r="F14" s="3">
        <v>2440</v>
      </c>
      <c r="G14" s="3">
        <v>2670</v>
      </c>
      <c r="H14" s="3">
        <v>3170</v>
      </c>
      <c r="I14" s="2">
        <v>3734</v>
      </c>
      <c r="J14" s="3">
        <v>5070</v>
      </c>
      <c r="K14" s="3">
        <v>6240</v>
      </c>
    </row>
    <row r="15" spans="1:11">
      <c r="A15" s="2">
        <v>13</v>
      </c>
      <c r="B15" s="7">
        <v>215</v>
      </c>
      <c r="C15" s="2" t="s">
        <v>28</v>
      </c>
      <c r="D15" s="3">
        <v>220</v>
      </c>
      <c r="E15" s="2">
        <v>220</v>
      </c>
      <c r="F15" s="3">
        <v>720</v>
      </c>
      <c r="G15" s="3">
        <v>720</v>
      </c>
      <c r="H15" s="3">
        <v>720</v>
      </c>
      <c r="I15" s="2">
        <v>1109</v>
      </c>
      <c r="J15" s="3">
        <v>1656</v>
      </c>
      <c r="K15" s="3">
        <v>2096</v>
      </c>
    </row>
    <row r="16" spans="1:11">
      <c r="A16" s="2">
        <v>14</v>
      </c>
      <c r="B16" s="7">
        <v>216</v>
      </c>
      <c r="C16" s="2" t="s">
        <v>33</v>
      </c>
      <c r="D16" s="3">
        <v>0</v>
      </c>
      <c r="E16" s="3">
        <v>0</v>
      </c>
      <c r="F16" s="3">
        <v>250</v>
      </c>
      <c r="G16" s="3">
        <v>1850</v>
      </c>
      <c r="H16" s="3">
        <v>2250</v>
      </c>
      <c r="I16" s="2">
        <v>2220</v>
      </c>
      <c r="J16" s="3">
        <v>2220</v>
      </c>
      <c r="K16" s="3">
        <v>2153</v>
      </c>
    </row>
    <row r="17" spans="1:11">
      <c r="A17" s="2">
        <v>15</v>
      </c>
      <c r="B17" s="7">
        <v>225</v>
      </c>
      <c r="C17" s="2" t="s">
        <v>27</v>
      </c>
      <c r="D17" s="3">
        <v>380</v>
      </c>
      <c r="E17" s="2">
        <v>380</v>
      </c>
      <c r="F17" s="3">
        <v>1680</v>
      </c>
      <c r="G17" s="3">
        <v>1680</v>
      </c>
      <c r="H17" s="3">
        <v>3220</v>
      </c>
      <c r="I17" s="2">
        <v>3277</v>
      </c>
      <c r="J17" s="3">
        <v>3855</v>
      </c>
      <c r="K17" s="3">
        <v>4980</v>
      </c>
    </row>
    <row r="18" spans="1:11">
      <c r="A18" s="2">
        <v>16</v>
      </c>
      <c r="B18" s="7">
        <v>226</v>
      </c>
      <c r="C18" s="2" t="s">
        <v>31</v>
      </c>
      <c r="D18" s="3">
        <v>935</v>
      </c>
      <c r="E18" s="2">
        <v>935</v>
      </c>
      <c r="F18" s="3">
        <v>1930</v>
      </c>
      <c r="G18" s="3">
        <v>2200</v>
      </c>
      <c r="H18" s="3">
        <v>2450</v>
      </c>
      <c r="I18" s="2">
        <v>2730</v>
      </c>
      <c r="J18" s="3">
        <v>3170</v>
      </c>
      <c r="K18" s="3">
        <v>4110</v>
      </c>
    </row>
    <row r="19" spans="1:11">
      <c r="A19" s="2">
        <v>17</v>
      </c>
      <c r="B19" s="7">
        <v>235</v>
      </c>
      <c r="C19" s="2" t="s">
        <v>32</v>
      </c>
      <c r="D19" s="3">
        <v>60</v>
      </c>
      <c r="E19" s="2">
        <v>60</v>
      </c>
      <c r="F19" s="3">
        <v>110</v>
      </c>
      <c r="G19" s="3">
        <v>110</v>
      </c>
      <c r="H19" s="3">
        <v>110</v>
      </c>
      <c r="I19" s="2">
        <v>290</v>
      </c>
      <c r="J19" s="3">
        <v>480</v>
      </c>
      <c r="K19" s="3">
        <v>1590</v>
      </c>
    </row>
    <row r="20" spans="1:11">
      <c r="A20" s="2">
        <v>18</v>
      </c>
      <c r="B20" s="7">
        <v>236</v>
      </c>
      <c r="C20" s="2" t="s">
        <v>30</v>
      </c>
      <c r="D20" s="3">
        <v>65</v>
      </c>
      <c r="E20" s="2">
        <v>65</v>
      </c>
      <c r="F20" s="3">
        <v>175</v>
      </c>
      <c r="G20" s="3">
        <v>1785</v>
      </c>
      <c r="H20" s="3">
        <v>2965</v>
      </c>
      <c r="I20" s="2">
        <v>2984</v>
      </c>
      <c r="J20" s="3">
        <v>3644</v>
      </c>
      <c r="K20" s="3">
        <v>3644</v>
      </c>
    </row>
    <row r="21" spans="1:11">
      <c r="A21" s="2">
        <v>19</v>
      </c>
      <c r="B21" s="7">
        <v>237</v>
      </c>
      <c r="C21" s="2" t="s">
        <v>29</v>
      </c>
      <c r="D21" s="3">
        <v>242</v>
      </c>
      <c r="E21" s="2">
        <v>532</v>
      </c>
      <c r="F21" s="3">
        <v>802</v>
      </c>
      <c r="G21" s="3">
        <v>1792</v>
      </c>
      <c r="H21" s="3">
        <v>2042</v>
      </c>
      <c r="I21" s="2">
        <v>2278</v>
      </c>
      <c r="J21" s="3">
        <v>2391</v>
      </c>
      <c r="K21" s="3">
        <v>2971</v>
      </c>
    </row>
    <row r="22" spans="1:11">
      <c r="A22" s="2">
        <v>20</v>
      </c>
      <c r="B22" s="7">
        <v>315</v>
      </c>
      <c r="C22" s="2" t="s">
        <v>2</v>
      </c>
      <c r="D22" s="3">
        <v>495</v>
      </c>
      <c r="E22" s="2">
        <v>625</v>
      </c>
      <c r="F22" s="3">
        <v>1295</v>
      </c>
      <c r="G22" s="3">
        <v>1295</v>
      </c>
      <c r="H22" s="3">
        <v>1295</v>
      </c>
      <c r="I22" s="2">
        <v>1295</v>
      </c>
      <c r="J22" s="3">
        <v>1295</v>
      </c>
      <c r="K22" s="3">
        <v>3270</v>
      </c>
    </row>
    <row r="23" spans="1:11" s="3" customFormat="1">
      <c r="A23" s="2">
        <v>21</v>
      </c>
      <c r="B23" s="7">
        <v>316</v>
      </c>
      <c r="C23" s="2" t="s">
        <v>1</v>
      </c>
      <c r="D23" s="3">
        <v>340</v>
      </c>
      <c r="E23" s="3">
        <v>380</v>
      </c>
      <c r="F23" s="3">
        <v>2430</v>
      </c>
      <c r="G23" s="3">
        <v>2620</v>
      </c>
      <c r="H23" s="3">
        <v>2620</v>
      </c>
      <c r="I23" s="2">
        <v>2750</v>
      </c>
      <c r="J23" s="3">
        <v>3270</v>
      </c>
      <c r="K23" s="3">
        <v>4600</v>
      </c>
    </row>
    <row r="24" spans="1:11">
      <c r="A24" s="2">
        <v>22</v>
      </c>
      <c r="B24" s="7">
        <v>317</v>
      </c>
      <c r="C24" s="2" t="s">
        <v>3</v>
      </c>
      <c r="D24" s="3">
        <v>40</v>
      </c>
      <c r="E24" s="2">
        <v>100</v>
      </c>
      <c r="F24" s="3">
        <v>2505</v>
      </c>
      <c r="G24" s="3">
        <v>2505</v>
      </c>
      <c r="H24" s="3">
        <v>2505</v>
      </c>
      <c r="I24" s="2">
        <v>3525</v>
      </c>
      <c r="J24" s="3">
        <v>3275</v>
      </c>
      <c r="K24" s="3">
        <v>4145</v>
      </c>
    </row>
    <row r="25" spans="1:11">
      <c r="A25" s="2">
        <v>23</v>
      </c>
      <c r="B25" s="7">
        <v>325</v>
      </c>
      <c r="C25" s="2" t="s">
        <v>4</v>
      </c>
      <c r="D25" s="3">
        <v>665</v>
      </c>
      <c r="E25" s="2">
        <v>1070</v>
      </c>
      <c r="F25" s="3">
        <v>3570</v>
      </c>
      <c r="G25" s="3">
        <v>5215</v>
      </c>
      <c r="H25" s="3">
        <v>6508</v>
      </c>
      <c r="I25" s="2">
        <v>6948</v>
      </c>
      <c r="J25" s="3">
        <v>8483</v>
      </c>
      <c r="K25" s="3">
        <v>9023</v>
      </c>
    </row>
    <row r="26" spans="1:11">
      <c r="A26" s="2">
        <v>24</v>
      </c>
      <c r="B26" s="7">
        <v>326</v>
      </c>
      <c r="C26" s="2" t="s">
        <v>0</v>
      </c>
      <c r="D26" s="3">
        <v>1530</v>
      </c>
      <c r="E26" s="2">
        <v>2185</v>
      </c>
      <c r="F26" s="3">
        <v>5385</v>
      </c>
      <c r="G26" s="3">
        <v>5545</v>
      </c>
      <c r="H26" s="3">
        <v>6850</v>
      </c>
      <c r="I26" s="2">
        <v>7800</v>
      </c>
      <c r="J26" s="3">
        <v>9140</v>
      </c>
      <c r="K26" s="3">
        <v>9844</v>
      </c>
    </row>
    <row r="27" spans="1:11">
      <c r="A27" s="2">
        <v>25</v>
      </c>
      <c r="B27" s="7">
        <v>327</v>
      </c>
      <c r="C27" s="2" t="s">
        <v>6</v>
      </c>
      <c r="D27" s="3">
        <v>1145</v>
      </c>
      <c r="E27" s="2">
        <v>1630</v>
      </c>
      <c r="F27" s="3">
        <v>2680</v>
      </c>
      <c r="G27" s="3">
        <v>2940</v>
      </c>
      <c r="H27" s="3">
        <v>3735</v>
      </c>
      <c r="I27" s="2">
        <v>4165</v>
      </c>
      <c r="J27" s="3">
        <v>5505</v>
      </c>
      <c r="K27" s="3">
        <v>6015</v>
      </c>
    </row>
    <row r="28" spans="1:11">
      <c r="A28" s="2">
        <v>26</v>
      </c>
      <c r="B28" s="7">
        <v>335</v>
      </c>
      <c r="C28" s="2" t="s">
        <v>5</v>
      </c>
      <c r="D28" s="3">
        <v>4925</v>
      </c>
      <c r="E28" s="2">
        <v>5980</v>
      </c>
      <c r="F28" s="3">
        <v>8080</v>
      </c>
      <c r="G28" s="3">
        <v>7560</v>
      </c>
      <c r="H28" s="3">
        <v>8810</v>
      </c>
      <c r="I28" s="2">
        <v>10180</v>
      </c>
      <c r="J28" s="3">
        <v>11286</v>
      </c>
      <c r="K28" s="3">
        <v>12261</v>
      </c>
    </row>
    <row r="29" spans="1:11">
      <c r="A29" s="2">
        <v>27</v>
      </c>
      <c r="B29" s="7">
        <v>336</v>
      </c>
      <c r="C29" s="2" t="s">
        <v>38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300</v>
      </c>
    </row>
    <row r="30" spans="1:11">
      <c r="A30" s="2">
        <v>28</v>
      </c>
      <c r="B30" s="7">
        <v>337</v>
      </c>
      <c r="C30" s="2" t="s">
        <v>7</v>
      </c>
      <c r="D30" s="3">
        <v>740</v>
      </c>
      <c r="E30" s="2">
        <v>1070</v>
      </c>
      <c r="F30" s="3">
        <v>2955</v>
      </c>
      <c r="G30" s="3">
        <v>3145</v>
      </c>
      <c r="H30" s="3">
        <v>4170</v>
      </c>
      <c r="I30" s="2">
        <v>4910</v>
      </c>
      <c r="J30" s="3">
        <v>5415</v>
      </c>
      <c r="K30" s="3">
        <v>5695</v>
      </c>
    </row>
    <row r="31" spans="1:11">
      <c r="A31" s="2">
        <v>29</v>
      </c>
      <c r="B31" s="7">
        <v>415</v>
      </c>
      <c r="C31" s="2" t="s">
        <v>11</v>
      </c>
      <c r="D31" s="3">
        <v>440</v>
      </c>
      <c r="E31" s="2">
        <v>1210</v>
      </c>
      <c r="F31" s="3">
        <v>3560</v>
      </c>
      <c r="G31" s="3">
        <v>4435</v>
      </c>
      <c r="H31" s="3">
        <v>4650</v>
      </c>
      <c r="I31" s="2">
        <v>5380</v>
      </c>
      <c r="J31" s="3">
        <v>9055</v>
      </c>
      <c r="K31" s="3">
        <v>10955</v>
      </c>
    </row>
    <row r="32" spans="1:11">
      <c r="A32" s="2">
        <v>30</v>
      </c>
      <c r="B32" s="7">
        <v>416</v>
      </c>
      <c r="C32" s="2" t="s">
        <v>13</v>
      </c>
      <c r="D32" s="3">
        <v>250</v>
      </c>
      <c r="E32" s="2">
        <v>520</v>
      </c>
      <c r="F32" s="3">
        <v>1910</v>
      </c>
      <c r="G32" s="3">
        <v>2050</v>
      </c>
      <c r="H32" s="3">
        <v>2715</v>
      </c>
      <c r="I32" s="2">
        <v>2715</v>
      </c>
      <c r="J32" s="3">
        <v>3555</v>
      </c>
      <c r="K32" s="3">
        <v>4640</v>
      </c>
    </row>
    <row r="33" spans="1:11">
      <c r="A33" s="2">
        <v>31</v>
      </c>
      <c r="B33" s="7">
        <v>417</v>
      </c>
      <c r="C33" s="2" t="s">
        <v>8</v>
      </c>
      <c r="D33" s="3">
        <v>455</v>
      </c>
      <c r="E33" s="2">
        <v>740</v>
      </c>
      <c r="F33" s="3">
        <v>2210</v>
      </c>
      <c r="G33" s="3">
        <v>2210</v>
      </c>
      <c r="H33" s="3">
        <v>2230</v>
      </c>
      <c r="I33" s="2">
        <v>2420</v>
      </c>
      <c r="J33" s="3">
        <v>4085</v>
      </c>
      <c r="K33" s="3">
        <v>4165</v>
      </c>
    </row>
    <row r="34" spans="1:11">
      <c r="A34" s="2">
        <v>32</v>
      </c>
      <c r="B34" s="7">
        <v>425</v>
      </c>
      <c r="C34" s="2" t="s">
        <v>15</v>
      </c>
      <c r="D34" s="3">
        <v>905</v>
      </c>
      <c r="E34" s="2">
        <v>2095</v>
      </c>
      <c r="F34" s="3">
        <v>10192</v>
      </c>
      <c r="G34" s="3">
        <v>10664</v>
      </c>
      <c r="H34" s="3">
        <v>11334</v>
      </c>
      <c r="I34" s="2">
        <v>13964</v>
      </c>
      <c r="J34" s="3">
        <v>19151</v>
      </c>
      <c r="K34" s="3">
        <v>23180</v>
      </c>
    </row>
    <row r="35" spans="1:11">
      <c r="A35" s="2">
        <v>33</v>
      </c>
      <c r="B35" s="7">
        <v>426</v>
      </c>
      <c r="C35" s="2" t="s">
        <v>9</v>
      </c>
      <c r="D35" s="3">
        <v>1940</v>
      </c>
      <c r="E35" s="2">
        <v>4440</v>
      </c>
      <c r="F35" s="3">
        <v>11970</v>
      </c>
      <c r="G35" s="3">
        <v>16440</v>
      </c>
      <c r="H35" s="3">
        <v>19050</v>
      </c>
      <c r="I35" s="2">
        <v>21270</v>
      </c>
      <c r="J35" s="3">
        <v>25500</v>
      </c>
      <c r="K35" s="3">
        <v>29690</v>
      </c>
    </row>
    <row r="36" spans="1:11">
      <c r="A36" s="2">
        <v>34</v>
      </c>
      <c r="B36" s="7">
        <v>435</v>
      </c>
      <c r="C36" s="2" t="s">
        <v>10</v>
      </c>
      <c r="D36" s="3">
        <v>490</v>
      </c>
      <c r="E36" s="2">
        <v>1075</v>
      </c>
      <c r="F36" s="3">
        <v>1825</v>
      </c>
      <c r="G36" s="3">
        <v>1695</v>
      </c>
      <c r="H36" s="3">
        <v>1695</v>
      </c>
      <c r="I36" s="2">
        <v>1795</v>
      </c>
      <c r="J36" s="3">
        <v>2475</v>
      </c>
      <c r="K36" s="3">
        <v>3395</v>
      </c>
    </row>
    <row r="37" spans="1:11">
      <c r="A37" s="2">
        <v>35</v>
      </c>
      <c r="B37" s="7">
        <v>436</v>
      </c>
      <c r="C37" s="2" t="s">
        <v>12</v>
      </c>
      <c r="D37" s="3">
        <v>3720</v>
      </c>
      <c r="E37" s="2">
        <v>4760</v>
      </c>
      <c r="F37" s="3">
        <v>9295</v>
      </c>
      <c r="G37" s="3">
        <v>11065</v>
      </c>
      <c r="H37" s="3">
        <v>13425</v>
      </c>
      <c r="I37" s="2">
        <v>14960</v>
      </c>
      <c r="J37" s="3">
        <v>17920</v>
      </c>
      <c r="K37" s="3">
        <v>23545</v>
      </c>
    </row>
    <row r="38" spans="1:11">
      <c r="A38" s="2">
        <v>36</v>
      </c>
      <c r="B38" s="7">
        <v>437</v>
      </c>
      <c r="C38" s="2" t="s">
        <v>14</v>
      </c>
      <c r="D38" s="3">
        <v>1835</v>
      </c>
      <c r="E38" s="2">
        <v>3645</v>
      </c>
      <c r="F38" s="3">
        <v>6564</v>
      </c>
      <c r="G38" s="3">
        <v>7304</v>
      </c>
      <c r="H38" s="3">
        <v>8891</v>
      </c>
      <c r="I38" s="2">
        <v>11355</v>
      </c>
      <c r="J38" s="3">
        <v>15584</v>
      </c>
      <c r="K38" s="3">
        <v>19954</v>
      </c>
    </row>
    <row r="39" spans="1:11">
      <c r="A39" s="2">
        <v>37</v>
      </c>
      <c r="B39" s="7">
        <v>999</v>
      </c>
      <c r="C39" s="2" t="s">
        <v>34</v>
      </c>
      <c r="D39" s="2">
        <f t="shared" ref="D39:K39" si="0">SUM(D3:D38)</f>
        <v>27707</v>
      </c>
      <c r="E39" s="2">
        <f>SUM(E3:E38)</f>
        <v>41812</v>
      </c>
      <c r="F39" s="2">
        <f t="shared" si="0"/>
        <v>96113</v>
      </c>
      <c r="G39" s="2">
        <f t="shared" si="0"/>
        <v>118930</v>
      </c>
      <c r="H39" s="2">
        <f t="shared" si="0"/>
        <v>140540</v>
      </c>
      <c r="I39" s="2">
        <f>SUM(I3:I38)</f>
        <v>161766</v>
      </c>
      <c r="J39" s="2">
        <f t="shared" si="0"/>
        <v>202848</v>
      </c>
      <c r="K39" s="2">
        <f t="shared" si="0"/>
        <v>255928</v>
      </c>
    </row>
    <row r="41" spans="1:11" s="11" customFormat="1">
      <c r="B41" s="11" t="s">
        <v>41</v>
      </c>
      <c r="D41" s="11">
        <v>38352</v>
      </c>
      <c r="E41" s="11">
        <v>38564</v>
      </c>
      <c r="F41" s="12">
        <f>IF(Anlagen!F41="","",Anlagen!F41)</f>
        <v>39082</v>
      </c>
      <c r="G41" s="11">
        <v>39447</v>
      </c>
      <c r="H41" s="11">
        <v>39813</v>
      </c>
      <c r="I41" s="11">
        <v>40178</v>
      </c>
      <c r="J41" s="11">
        <v>40543</v>
      </c>
      <c r="K41" s="11">
        <v>40908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K41" sqref="K41"/>
    </sheetView>
  </sheetViews>
  <sheetFormatPr baseColWidth="10" defaultRowHeight="12.75"/>
  <cols>
    <col min="1" max="1" width="3" style="2" bestFit="1" customWidth="1"/>
    <col min="2" max="2" width="7.5703125" style="7" customWidth="1"/>
    <col min="3" max="3" width="24" style="2" bestFit="1" customWidth="1"/>
    <col min="4" max="16384" width="11.42578125" style="2"/>
  </cols>
  <sheetData>
    <row r="1" spans="1:11">
      <c r="D1" s="9" t="s">
        <v>45</v>
      </c>
      <c r="E1" s="1"/>
      <c r="F1" s="1"/>
      <c r="G1" s="1"/>
      <c r="H1" s="1"/>
      <c r="I1" s="1"/>
    </row>
    <row r="2" spans="1:11">
      <c r="B2" s="4" t="s">
        <v>35</v>
      </c>
      <c r="C2" s="5" t="s">
        <v>36</v>
      </c>
      <c r="D2" s="6">
        <v>2004</v>
      </c>
      <c r="E2" s="6">
        <v>2005</v>
      </c>
      <c r="F2" s="6">
        <v>2006</v>
      </c>
      <c r="G2" s="6">
        <v>2007</v>
      </c>
      <c r="H2" s="6">
        <v>2008</v>
      </c>
      <c r="I2" s="6">
        <v>2009</v>
      </c>
      <c r="J2" s="6">
        <v>2010</v>
      </c>
      <c r="K2" s="6">
        <v>2011</v>
      </c>
    </row>
    <row r="3" spans="1:11">
      <c r="A3" s="2">
        <v>1</v>
      </c>
      <c r="B3" s="7">
        <v>111</v>
      </c>
      <c r="C3" s="2" t="s">
        <v>23</v>
      </c>
      <c r="D3" s="10">
        <f>IF(Anlagen!D3=0,0,kW_el!D3/Anlagen!D3)</f>
        <v>65</v>
      </c>
      <c r="E3" s="10">
        <f>IF(Anlagen!E3=0,0,kW_el!E3/Anlagen!E3)</f>
        <v>65</v>
      </c>
      <c r="F3" s="10">
        <f>IF(Anlagen!F3=0,0,kW_el!F3/Anlagen!F3)</f>
        <v>130</v>
      </c>
      <c r="G3" s="10">
        <f>IF(Anlagen!G3=0,0,kW_el!G3/Anlagen!G3)</f>
        <v>130</v>
      </c>
      <c r="H3" s="10">
        <f>IF(Anlagen!H3=0,0,kW_el!H3/Anlagen!H3)</f>
        <v>130</v>
      </c>
      <c r="I3" s="10">
        <f>IF(Anlagen!I3=0,0,kW_el!I3/Anlagen!I3)</f>
        <v>130</v>
      </c>
      <c r="J3" s="10">
        <f>IF(Anlagen!J3=0,0,kW_el!J3/Anlagen!J3)</f>
        <v>130</v>
      </c>
      <c r="K3" s="10">
        <f>IF(Anlagen!K3=0,0,kW_el!K3/Anlagen!K3)</f>
        <v>130</v>
      </c>
    </row>
    <row r="4" spans="1:11">
      <c r="A4" s="2">
        <v>2</v>
      </c>
      <c r="B4" s="7">
        <v>115</v>
      </c>
      <c r="C4" s="2" t="s">
        <v>21</v>
      </c>
      <c r="D4" s="10">
        <f>IF(Anlagen!D4=0,0,kW_el!D4/Anlagen!D4)</f>
        <v>110</v>
      </c>
      <c r="E4" s="10">
        <f>IF(Anlagen!E4=0,0,kW_el!E4/Anlagen!E4)</f>
        <v>110</v>
      </c>
      <c r="F4" s="10">
        <f>IF(Anlagen!F4=0,0,kW_el!F4/Anlagen!F4)</f>
        <v>180</v>
      </c>
      <c r="G4" s="10">
        <f>IF(Anlagen!G4=0,0,kW_el!G4/Anlagen!G4)</f>
        <v>286</v>
      </c>
      <c r="H4" s="10">
        <f>IF(Anlagen!H4=0,0,kW_el!H4/Anlagen!H4)</f>
        <v>286</v>
      </c>
      <c r="I4" s="10">
        <f>IF(Anlagen!I4=0,0,kW_el!I4/Anlagen!I4)</f>
        <v>302.39999999999998</v>
      </c>
      <c r="J4" s="10">
        <f>IF(Anlagen!J4=0,0,kW_el!J4/Anlagen!J4)</f>
        <v>302.39999999999998</v>
      </c>
      <c r="K4" s="10">
        <f>IF(Anlagen!K4=0,0,kW_el!K4/Anlagen!K4)</f>
        <v>333.66666666666669</v>
      </c>
    </row>
    <row r="5" spans="1:11">
      <c r="A5" s="2">
        <v>3</v>
      </c>
      <c r="B5" s="7">
        <v>116</v>
      </c>
      <c r="C5" s="2" t="s">
        <v>25</v>
      </c>
      <c r="D5" s="10">
        <f>IF(Anlagen!D5=0,0,kW_el!D5/Anlagen!D5)</f>
        <v>77.5</v>
      </c>
      <c r="E5" s="10">
        <f>IF(Anlagen!E5=0,0,kW_el!E5/Anlagen!E5)</f>
        <v>77.5</v>
      </c>
      <c r="F5" s="10">
        <f>IF(Anlagen!F5=0,0,kW_el!F5/Anlagen!F5)</f>
        <v>111.25</v>
      </c>
      <c r="G5" s="10">
        <f>IF(Anlagen!G5=0,0,kW_el!G5/Anlagen!G5)</f>
        <v>111.25</v>
      </c>
      <c r="H5" s="10">
        <f>IF(Anlagen!H5=0,0,kW_el!H5/Anlagen!H5)</f>
        <v>181</v>
      </c>
      <c r="I5" s="10">
        <f>IF(Anlagen!I5=0,0,kW_el!I5/Anlagen!I5)</f>
        <v>192</v>
      </c>
      <c r="J5" s="10">
        <f>IF(Anlagen!J5=0,0,kW_el!J5/Anlagen!J5)</f>
        <v>216.66666666666666</v>
      </c>
      <c r="K5" s="10">
        <f>IF(Anlagen!K5=0,0,kW_el!K5/Anlagen!K5)</f>
        <v>216.25</v>
      </c>
    </row>
    <row r="6" spans="1:11">
      <c r="A6" s="2">
        <v>4</v>
      </c>
      <c r="B6" s="7">
        <v>117</v>
      </c>
      <c r="C6" s="2" t="s">
        <v>18</v>
      </c>
      <c r="D6" s="10">
        <f>IF(Anlagen!D6=0,0,kW_el!D6/Anlagen!D6)</f>
        <v>83.333333333333329</v>
      </c>
      <c r="E6" s="10">
        <f>IF(Anlagen!E6=0,0,kW_el!E6/Anlagen!E6)</f>
        <v>85</v>
      </c>
      <c r="F6" s="10">
        <f>IF(Anlagen!F6=0,0,kW_el!F6/Anlagen!F6)</f>
        <v>85</v>
      </c>
      <c r="G6" s="10">
        <f>IF(Anlagen!G6=0,0,kW_el!G6/Anlagen!G6)</f>
        <v>253.57142857142858</v>
      </c>
      <c r="H6" s="10">
        <f>IF(Anlagen!H6=0,0,kW_el!H6/Anlagen!H6)</f>
        <v>281.42857142857144</v>
      </c>
      <c r="I6" s="10">
        <f>IF(Anlagen!I6=0,0,kW_el!I6/Anlagen!I6)</f>
        <v>259.71428571428572</v>
      </c>
      <c r="J6" s="10">
        <f>IF(Anlagen!J6=0,0,kW_el!J6/Anlagen!J6)</f>
        <v>261.8</v>
      </c>
      <c r="K6" s="10">
        <f>IF(Anlagen!K6=0,0,kW_el!K6/Anlagen!K6)</f>
        <v>339.09090909090907</v>
      </c>
    </row>
    <row r="7" spans="1:11">
      <c r="A7" s="2">
        <v>5</v>
      </c>
      <c r="B7" s="7">
        <v>118</v>
      </c>
      <c r="C7" s="2" t="s">
        <v>24</v>
      </c>
      <c r="D7" s="10">
        <f>IF(Anlagen!D7=0,0,kW_el!D7/Anlagen!D7)</f>
        <v>0</v>
      </c>
      <c r="E7" s="10">
        <f>IF(Anlagen!E7=0,0,kW_el!E7/Anlagen!E7)</f>
        <v>0</v>
      </c>
      <c r="F7" s="10">
        <f>IF(Anlagen!F7=0,0,kW_el!F7/Anlagen!F7)</f>
        <v>426.66666666666669</v>
      </c>
      <c r="G7" s="10">
        <f>IF(Anlagen!G7=0,0,kW_el!G7/Anlagen!G7)</f>
        <v>499.28571428571428</v>
      </c>
      <c r="H7" s="10">
        <f>IF(Anlagen!H7=0,0,kW_el!H7/Anlagen!H7)</f>
        <v>485</v>
      </c>
      <c r="I7" s="10">
        <f>IF(Anlagen!I7=0,0,kW_el!I7/Anlagen!I7)</f>
        <v>490.77777777777777</v>
      </c>
      <c r="J7" s="10">
        <f>IF(Anlagen!J7=0,0,kW_el!J7/Anlagen!J7)</f>
        <v>511.7</v>
      </c>
      <c r="K7" s="10">
        <f>IF(Anlagen!K7=0,0,kW_el!K7/Anlagen!K7)</f>
        <v>625.15384615384619</v>
      </c>
    </row>
    <row r="8" spans="1:11">
      <c r="A8" s="2">
        <v>6</v>
      </c>
      <c r="B8" s="7">
        <v>119</v>
      </c>
      <c r="C8" s="2" t="s">
        <v>16</v>
      </c>
      <c r="D8" s="10">
        <f>IF(Anlagen!D8=0,0,kW_el!D8/Anlagen!D8)</f>
        <v>50</v>
      </c>
      <c r="E8" s="10">
        <f>IF(Anlagen!E8=0,0,kW_el!E8/Anlagen!E8)</f>
        <v>50</v>
      </c>
      <c r="F8" s="10">
        <f>IF(Anlagen!F8=0,0,kW_el!F8/Anlagen!F8)</f>
        <v>50</v>
      </c>
      <c r="G8" s="10">
        <f>IF(Anlagen!G8=0,0,kW_el!G8/Anlagen!G8)</f>
        <v>78</v>
      </c>
      <c r="H8" s="10">
        <f>IF(Anlagen!H8=0,0,kW_el!H8/Anlagen!H8)</f>
        <v>90</v>
      </c>
      <c r="I8" s="10">
        <f>IF(Anlagen!I8=0,0,kW_el!I8/Anlagen!I8)</f>
        <v>147.5</v>
      </c>
      <c r="J8" s="10">
        <f>IF(Anlagen!J8=0,0,kW_el!J8/Anlagen!J8)</f>
        <v>176.66666666666666</v>
      </c>
      <c r="K8" s="10">
        <f>IF(Anlagen!K8=0,0,kW_el!K8/Anlagen!K8)</f>
        <v>283.07692307692309</v>
      </c>
    </row>
    <row r="9" spans="1:11">
      <c r="A9" s="2">
        <v>7</v>
      </c>
      <c r="B9" s="7">
        <v>125</v>
      </c>
      <c r="C9" s="2" t="s">
        <v>20</v>
      </c>
      <c r="D9" s="10">
        <f>IF(Anlagen!D9=0,0,kW_el!D9/Anlagen!D9)</f>
        <v>63.333333333333336</v>
      </c>
      <c r="E9" s="10">
        <f>IF(Anlagen!E9=0,0,kW_el!E9/Anlagen!E9)</f>
        <v>63.333333333333336</v>
      </c>
      <c r="F9" s="10">
        <f>IF(Anlagen!F9=0,0,kW_el!F9/Anlagen!F9)</f>
        <v>120</v>
      </c>
      <c r="G9" s="10">
        <f>IF(Anlagen!G9=0,0,kW_el!G9/Anlagen!G9)</f>
        <v>176</v>
      </c>
      <c r="H9" s="10">
        <f>IF(Anlagen!H9=0,0,kW_el!H9/Anlagen!H9)</f>
        <v>401.66666666666669</v>
      </c>
      <c r="I9" s="10">
        <f>IF(Anlagen!I9=0,0,kW_el!I9/Anlagen!I9)</f>
        <v>378.5</v>
      </c>
      <c r="J9" s="10">
        <f>IF(Anlagen!J9=0,0,kW_el!J9/Anlagen!J9)</f>
        <v>358.71428571428572</v>
      </c>
      <c r="K9" s="10">
        <f>IF(Anlagen!K9=0,0,kW_el!K9/Anlagen!K9)</f>
        <v>571.875</v>
      </c>
    </row>
    <row r="10" spans="1:11">
      <c r="A10" s="2">
        <v>8</v>
      </c>
      <c r="B10" s="7">
        <v>126</v>
      </c>
      <c r="C10" s="2" t="s">
        <v>26</v>
      </c>
      <c r="D10" s="10">
        <f>IF(Anlagen!D10=0,0,kW_el!D10/Anlagen!D10)</f>
        <v>143.57142857142858</v>
      </c>
      <c r="E10" s="10">
        <f>IF(Anlagen!E10=0,0,kW_el!E10/Anlagen!E10)</f>
        <v>148.125</v>
      </c>
      <c r="F10" s="10">
        <f>IF(Anlagen!F10=0,0,kW_el!F10/Anlagen!F10)</f>
        <v>150.625</v>
      </c>
      <c r="G10" s="10">
        <f>IF(Anlagen!G10=0,0,kW_el!G10/Anlagen!G10)</f>
        <v>153.88888888888889</v>
      </c>
      <c r="H10" s="10">
        <f>IF(Anlagen!H10=0,0,kW_el!H10/Anlagen!H10)</f>
        <v>176.81818181818181</v>
      </c>
      <c r="I10" s="10">
        <f>IF(Anlagen!I10=0,0,kW_el!I10/Anlagen!I10)</f>
        <v>206.15384615384616</v>
      </c>
      <c r="J10" s="10">
        <f>IF(Anlagen!J10=0,0,kW_el!J10/Anlagen!J10)</f>
        <v>227.33333333333334</v>
      </c>
      <c r="K10" s="10">
        <f>IF(Anlagen!K10=0,0,kW_el!K10/Anlagen!K10)</f>
        <v>316.94444444444446</v>
      </c>
    </row>
    <row r="11" spans="1:11">
      <c r="A11" s="2">
        <v>9</v>
      </c>
      <c r="B11" s="7">
        <v>127</v>
      </c>
      <c r="C11" s="2" t="s">
        <v>22</v>
      </c>
      <c r="D11" s="10">
        <f>IF(Anlagen!D11=0,0,kW_el!D11/Anlagen!D11)</f>
        <v>90.25</v>
      </c>
      <c r="E11" s="10">
        <f>IF(Anlagen!E11=0,0,kW_el!E11/Anlagen!E11)</f>
        <v>108.6</v>
      </c>
      <c r="F11" s="10">
        <f>IF(Anlagen!F11=0,0,kW_el!F11/Anlagen!F11)</f>
        <v>178.18181818181819</v>
      </c>
      <c r="G11" s="10">
        <f>IF(Anlagen!G11=0,0,kW_el!G11/Anlagen!G11)</f>
        <v>206.92307692307693</v>
      </c>
      <c r="H11" s="10">
        <f>IF(Anlagen!H11=0,0,kW_el!H11/Anlagen!H11)</f>
        <v>224.61538461538461</v>
      </c>
      <c r="I11" s="10">
        <f>IF(Anlagen!I11=0,0,kW_el!I11/Anlagen!I11)</f>
        <v>244.06451612903226</v>
      </c>
      <c r="J11" s="10">
        <f>IF(Anlagen!J11=0,0,kW_el!J11/Anlagen!J11)</f>
        <v>265.36585365853659</v>
      </c>
      <c r="K11" s="10">
        <f>IF(Anlagen!K11=0,0,kW_el!K11/Anlagen!K11)</f>
        <v>312.43478260869563</v>
      </c>
    </row>
    <row r="12" spans="1:11">
      <c r="A12" s="2">
        <v>10</v>
      </c>
      <c r="B12" s="8">
        <v>128</v>
      </c>
      <c r="C12" s="3" t="s">
        <v>39</v>
      </c>
      <c r="D12" s="10">
        <f>IF(Anlagen!D12=0,0,kW_el!D12/Anlagen!D12)</f>
        <v>92</v>
      </c>
      <c r="E12" s="10">
        <f>IF(Anlagen!E12=0,0,kW_el!E12/Anlagen!E12)</f>
        <v>123.33333333333333</v>
      </c>
      <c r="F12" s="10">
        <f>IF(Anlagen!F12=0,0,kW_el!F12/Anlagen!F12)</f>
        <v>192.85714285714286</v>
      </c>
      <c r="G12" s="10">
        <f>IF(Anlagen!G12=0,0,kW_el!G12/Anlagen!G12)</f>
        <v>246.66666666666666</v>
      </c>
      <c r="H12" s="10">
        <f>IF(Anlagen!H12=0,0,kW_el!H12/Anlagen!H12)</f>
        <v>215</v>
      </c>
      <c r="I12" s="10">
        <f>IF(Anlagen!I12=0,0,kW_el!I12/Anlagen!I12)</f>
        <v>251.75</v>
      </c>
      <c r="J12" s="10">
        <f>IF(Anlagen!J12=0,0,kW_el!J12/Anlagen!J12)</f>
        <v>251.4</v>
      </c>
      <c r="K12" s="10">
        <f>IF(Anlagen!K12=0,0,kW_el!K12/Anlagen!K12)</f>
        <v>280</v>
      </c>
    </row>
    <row r="13" spans="1:11">
      <c r="A13" s="2">
        <v>11</v>
      </c>
      <c r="B13" s="7">
        <v>135</v>
      </c>
      <c r="C13" s="2" t="s">
        <v>19</v>
      </c>
      <c r="D13" s="10">
        <f>IF(Anlagen!D13=0,0,kW_el!D13/Anlagen!D13)</f>
        <v>76.36363636363636</v>
      </c>
      <c r="E13" s="10">
        <f>IF(Anlagen!E13=0,0,kW_el!E13/Anlagen!E13)</f>
        <v>101.53846153846153</v>
      </c>
      <c r="F13" s="10">
        <f>IF(Anlagen!F13=0,0,kW_el!F13/Anlagen!F13)</f>
        <v>127</v>
      </c>
      <c r="G13" s="10">
        <f>IF(Anlagen!G13=0,0,kW_el!G13/Anlagen!G13)</f>
        <v>127</v>
      </c>
      <c r="H13" s="10">
        <f>IF(Anlagen!H13=0,0,kW_el!H13/Anlagen!H13)</f>
        <v>131</v>
      </c>
      <c r="I13" s="10">
        <f>IF(Anlagen!I13=0,0,kW_el!I13/Anlagen!I13)</f>
        <v>175.77777777777777</v>
      </c>
      <c r="J13" s="10">
        <f>IF(Anlagen!J13=0,0,kW_el!J13/Anlagen!J13)</f>
        <v>162.80000000000001</v>
      </c>
      <c r="K13" s="10">
        <f>IF(Anlagen!K13=0,0,kW_el!K13/Anlagen!K13)</f>
        <v>200.61538461538461</v>
      </c>
    </row>
    <row r="14" spans="1:11">
      <c r="A14" s="2">
        <v>12</v>
      </c>
      <c r="B14" s="7">
        <v>136</v>
      </c>
      <c r="C14" s="2" t="s">
        <v>17</v>
      </c>
      <c r="D14" s="10">
        <f>IF(Anlagen!D14=0,0,kW_el!D14/Anlagen!D14)</f>
        <v>135</v>
      </c>
      <c r="E14" s="10">
        <f>IF(Anlagen!E14=0,0,kW_el!E14/Anlagen!E14)</f>
        <v>141.42857142857142</v>
      </c>
      <c r="F14" s="10">
        <f>IF(Anlagen!F14=0,0,kW_el!F14/Anlagen!F14)</f>
        <v>244</v>
      </c>
      <c r="G14" s="10">
        <f>IF(Anlagen!G14=0,0,kW_el!G14/Anlagen!G14)</f>
        <v>267</v>
      </c>
      <c r="H14" s="10">
        <f>IF(Anlagen!H14=0,0,kW_el!H14/Anlagen!H14)</f>
        <v>288.18181818181819</v>
      </c>
      <c r="I14" s="10">
        <f>IF(Anlagen!I14=0,0,kW_el!I14/Anlagen!I14)</f>
        <v>311.16666666666669</v>
      </c>
      <c r="J14" s="10">
        <f>IF(Anlagen!J14=0,0,kW_el!J14/Anlagen!J14)</f>
        <v>316.875</v>
      </c>
      <c r="K14" s="10">
        <f>IF(Anlagen!K14=0,0,kW_el!K14/Anlagen!K14)</f>
        <v>312</v>
      </c>
    </row>
    <row r="15" spans="1:11">
      <c r="A15" s="2">
        <v>13</v>
      </c>
      <c r="B15" s="7">
        <v>215</v>
      </c>
      <c r="C15" s="2" t="s">
        <v>28</v>
      </c>
      <c r="D15" s="10">
        <f>IF(Anlagen!D15=0,0,kW_el!D15/Anlagen!D15)</f>
        <v>110</v>
      </c>
      <c r="E15" s="10">
        <f>IF(Anlagen!E15=0,0,kW_el!E15/Anlagen!E15)</f>
        <v>110</v>
      </c>
      <c r="F15" s="10">
        <f>IF(Anlagen!F15=0,0,kW_el!F15/Anlagen!F15)</f>
        <v>240</v>
      </c>
      <c r="G15" s="10">
        <f>IF(Anlagen!G15=0,0,kW_el!G15/Anlagen!G15)</f>
        <v>240</v>
      </c>
      <c r="H15" s="10">
        <f>IF(Anlagen!H15=0,0,kW_el!H15/Anlagen!H15)</f>
        <v>240</v>
      </c>
      <c r="I15" s="10">
        <f>IF(Anlagen!I15=0,0,kW_el!I15/Anlagen!I15)</f>
        <v>277.25</v>
      </c>
      <c r="J15" s="10">
        <f>IF(Anlagen!J15=0,0,kW_el!J15/Anlagen!J15)</f>
        <v>276</v>
      </c>
      <c r="K15" s="10">
        <f>IF(Anlagen!K15=0,0,kW_el!K15/Anlagen!K15)</f>
        <v>349.33333333333331</v>
      </c>
    </row>
    <row r="16" spans="1:11">
      <c r="A16" s="2">
        <v>14</v>
      </c>
      <c r="B16" s="7">
        <v>216</v>
      </c>
      <c r="C16" s="2" t="s">
        <v>33</v>
      </c>
      <c r="D16" s="10">
        <f>IF(Anlagen!D16=0,0,kW_el!D16/Anlagen!D16)</f>
        <v>0</v>
      </c>
      <c r="E16" s="10">
        <f>IF(Anlagen!E16=0,0,kW_el!E16/Anlagen!E16)</f>
        <v>0</v>
      </c>
      <c r="F16" s="10">
        <f>IF(Anlagen!F16=0,0,kW_el!F16/Anlagen!F16)</f>
        <v>250</v>
      </c>
      <c r="G16" s="10">
        <f>IF(Anlagen!G16=0,0,kW_el!G16/Anlagen!G16)</f>
        <v>616.66666666666663</v>
      </c>
      <c r="H16" s="10">
        <f>IF(Anlagen!H16=0,0,kW_el!H16/Anlagen!H16)</f>
        <v>750</v>
      </c>
      <c r="I16" s="10">
        <f>IF(Anlagen!I16=0,0,kW_el!I16/Anlagen!I16)</f>
        <v>740</v>
      </c>
      <c r="J16" s="10">
        <f>IF(Anlagen!J16=0,0,kW_el!J16/Anlagen!J16)</f>
        <v>740</v>
      </c>
      <c r="K16" s="10">
        <f>IF(Anlagen!K16=0,0,kW_el!K16/Anlagen!K16)</f>
        <v>717.66666666666663</v>
      </c>
    </row>
    <row r="17" spans="1:11">
      <c r="A17" s="2">
        <v>15</v>
      </c>
      <c r="B17" s="7">
        <v>225</v>
      </c>
      <c r="C17" s="2" t="s">
        <v>27</v>
      </c>
      <c r="D17" s="10">
        <f>IF(Anlagen!D17=0,0,kW_el!D17/Anlagen!D17)</f>
        <v>190</v>
      </c>
      <c r="E17" s="10">
        <f>IF(Anlagen!E17=0,0,kW_el!E17/Anlagen!E17)</f>
        <v>190</v>
      </c>
      <c r="F17" s="10">
        <f>IF(Anlagen!F17=0,0,kW_el!F17/Anlagen!F17)</f>
        <v>420</v>
      </c>
      <c r="G17" s="10">
        <f>IF(Anlagen!G17=0,0,kW_el!G17/Anlagen!G17)</f>
        <v>420</v>
      </c>
      <c r="H17" s="10">
        <f>IF(Anlagen!H17=0,0,kW_el!H17/Anlagen!H17)</f>
        <v>536.66666666666663</v>
      </c>
      <c r="I17" s="10">
        <f>IF(Anlagen!I17=0,0,kW_el!I17/Anlagen!I17)</f>
        <v>546.16666666666663</v>
      </c>
      <c r="J17" s="10">
        <f>IF(Anlagen!J17=0,0,kW_el!J17/Anlagen!J17)</f>
        <v>642.5</v>
      </c>
      <c r="K17" s="10">
        <f>IF(Anlagen!K17=0,0,kW_el!K17/Anlagen!K17)</f>
        <v>498</v>
      </c>
    </row>
    <row r="18" spans="1:11">
      <c r="A18" s="2">
        <v>16</v>
      </c>
      <c r="B18" s="7">
        <v>226</v>
      </c>
      <c r="C18" s="2" t="s">
        <v>31</v>
      </c>
      <c r="D18" s="10">
        <f>IF(Anlagen!D18=0,0,kW_el!D18/Anlagen!D18)</f>
        <v>187</v>
      </c>
      <c r="E18" s="10">
        <f>IF(Anlagen!E18=0,0,kW_el!E18/Anlagen!E18)</f>
        <v>187</v>
      </c>
      <c r="F18" s="10">
        <f>IF(Anlagen!F18=0,0,kW_el!F18/Anlagen!F18)</f>
        <v>275.71428571428572</v>
      </c>
      <c r="G18" s="10">
        <f>IF(Anlagen!G18=0,0,kW_el!G18/Anlagen!G18)</f>
        <v>275</v>
      </c>
      <c r="H18" s="10">
        <f>IF(Anlagen!H18=0,0,kW_el!H18/Anlagen!H18)</f>
        <v>272.22222222222223</v>
      </c>
      <c r="I18" s="10">
        <f>IF(Anlagen!I18=0,0,kW_el!I18/Anlagen!I18)</f>
        <v>303.33333333333331</v>
      </c>
      <c r="J18" s="10">
        <f>IF(Anlagen!J18=0,0,kW_el!J18/Anlagen!J18)</f>
        <v>352.22222222222223</v>
      </c>
      <c r="K18" s="10">
        <f>IF(Anlagen!K18=0,0,kW_el!K18/Anlagen!K18)</f>
        <v>411</v>
      </c>
    </row>
    <row r="19" spans="1:11">
      <c r="A19" s="2">
        <v>17</v>
      </c>
      <c r="B19" s="7">
        <v>235</v>
      </c>
      <c r="C19" s="2" t="s">
        <v>32</v>
      </c>
      <c r="D19" s="10">
        <f>IF(Anlagen!D19=0,0,kW_el!D19/Anlagen!D19)</f>
        <v>30</v>
      </c>
      <c r="E19" s="10">
        <f>IF(Anlagen!E19=0,0,kW_el!E19/Anlagen!E19)</f>
        <v>30</v>
      </c>
      <c r="F19" s="10">
        <f>IF(Anlagen!F19=0,0,kW_el!F19/Anlagen!F19)</f>
        <v>110</v>
      </c>
      <c r="G19" s="10">
        <f>IF(Anlagen!G19=0,0,kW_el!G19/Anlagen!G19)</f>
        <v>110</v>
      </c>
      <c r="H19" s="10">
        <f>IF(Anlagen!H19=0,0,kW_el!H19/Anlagen!H19)</f>
        <v>110</v>
      </c>
      <c r="I19" s="10">
        <f>IF(Anlagen!I19=0,0,kW_el!I19/Anlagen!I19)</f>
        <v>145</v>
      </c>
      <c r="J19" s="10">
        <f>IF(Anlagen!J19=0,0,kW_el!J19/Anlagen!J19)</f>
        <v>160</v>
      </c>
      <c r="K19" s="10">
        <f>IF(Anlagen!K19=0,0,kW_el!K19/Anlagen!K19)</f>
        <v>227.14285714285714</v>
      </c>
    </row>
    <row r="20" spans="1:11">
      <c r="A20" s="2">
        <v>18</v>
      </c>
      <c r="B20" s="7">
        <v>236</v>
      </c>
      <c r="C20" s="2" t="s">
        <v>30</v>
      </c>
      <c r="D20" s="10">
        <f>IF(Anlagen!D20=0,0,kW_el!D20/Anlagen!D20)</f>
        <v>32.5</v>
      </c>
      <c r="E20" s="10">
        <f>IF(Anlagen!E20=0,0,kW_el!E20/Anlagen!E20)</f>
        <v>32.5</v>
      </c>
      <c r="F20" s="10">
        <f>IF(Anlagen!F20=0,0,kW_el!F20/Anlagen!F20)</f>
        <v>58.333333333333336</v>
      </c>
      <c r="G20" s="10">
        <f>IF(Anlagen!G20=0,0,kW_el!G20/Anlagen!G20)</f>
        <v>357</v>
      </c>
      <c r="H20" s="10">
        <f>IF(Anlagen!H20=0,0,kW_el!H20/Anlagen!H20)</f>
        <v>494.16666666666669</v>
      </c>
      <c r="I20" s="10">
        <f>IF(Anlagen!I20=0,0,kW_el!I20/Anlagen!I20)</f>
        <v>497.33333333333331</v>
      </c>
      <c r="J20" s="10">
        <f>IF(Anlagen!J20=0,0,kW_el!J20/Anlagen!J20)</f>
        <v>520.57142857142856</v>
      </c>
      <c r="K20" s="10">
        <f>IF(Anlagen!K20=0,0,kW_el!K20/Anlagen!K20)</f>
        <v>520.57142857142856</v>
      </c>
    </row>
    <row r="21" spans="1:11">
      <c r="A21" s="2">
        <v>19</v>
      </c>
      <c r="B21" s="7">
        <v>237</v>
      </c>
      <c r="C21" s="2" t="s">
        <v>29</v>
      </c>
      <c r="D21" s="10">
        <f>IF(Anlagen!D21=0,0,kW_el!D21/Anlagen!D21)</f>
        <v>80.666666666666671</v>
      </c>
      <c r="E21" s="10">
        <f>IF(Anlagen!E21=0,0,kW_el!E21/Anlagen!E21)</f>
        <v>106.4</v>
      </c>
      <c r="F21" s="10">
        <f>IF(Anlagen!F21=0,0,kW_el!F21/Anlagen!F21)</f>
        <v>160.4</v>
      </c>
      <c r="G21" s="10">
        <f>IF(Anlagen!G21=0,0,kW_el!G21/Anlagen!G21)</f>
        <v>199.11111111111111</v>
      </c>
      <c r="H21" s="10">
        <f>IF(Anlagen!H21=0,0,kW_el!H21/Anlagen!H21)</f>
        <v>204.2</v>
      </c>
      <c r="I21" s="10">
        <f>IF(Anlagen!I21=0,0,kW_el!I21/Anlagen!I21)</f>
        <v>207.09090909090909</v>
      </c>
      <c r="J21" s="10">
        <f>IF(Anlagen!J21=0,0,kW_el!J21/Anlagen!J21)</f>
        <v>217.36363636363637</v>
      </c>
      <c r="K21" s="10">
        <f>IF(Anlagen!K21=0,0,kW_el!K21/Anlagen!K21)</f>
        <v>247.58333333333334</v>
      </c>
    </row>
    <row r="22" spans="1:11">
      <c r="A22" s="2">
        <v>20</v>
      </c>
      <c r="B22" s="7">
        <v>315</v>
      </c>
      <c r="C22" s="2" t="s">
        <v>2</v>
      </c>
      <c r="D22" s="10">
        <f>IF(Anlagen!D22=0,0,kW_el!D22/Anlagen!D22)</f>
        <v>70.714285714285708</v>
      </c>
      <c r="E22" s="10">
        <f>IF(Anlagen!E22=0,0,kW_el!E22/Anlagen!E22)</f>
        <v>78.125</v>
      </c>
      <c r="F22" s="10">
        <f>IF(Anlagen!F22=0,0,kW_el!F22/Anlagen!F22)</f>
        <v>129.5</v>
      </c>
      <c r="G22" s="10">
        <f>IF(Anlagen!G22=0,0,kW_el!G22/Anlagen!G22)</f>
        <v>129.5</v>
      </c>
      <c r="H22" s="10">
        <f>IF(Anlagen!H22=0,0,kW_el!H22/Anlagen!H22)</f>
        <v>129.5</v>
      </c>
      <c r="I22" s="10">
        <f>IF(Anlagen!I22=0,0,kW_el!I22/Anlagen!I22)</f>
        <v>129.5</v>
      </c>
      <c r="J22" s="10">
        <f>IF(Anlagen!J22=0,0,kW_el!J22/Anlagen!J22)</f>
        <v>129.5</v>
      </c>
      <c r="K22" s="10">
        <f>IF(Anlagen!K22=0,0,kW_el!K22/Anlagen!K22)</f>
        <v>327</v>
      </c>
    </row>
    <row r="23" spans="1:11" s="3" customFormat="1">
      <c r="A23" s="2">
        <v>21</v>
      </c>
      <c r="B23" s="7">
        <v>316</v>
      </c>
      <c r="C23" s="2" t="s">
        <v>1</v>
      </c>
      <c r="D23" s="10">
        <f>IF(Anlagen!D23=0,0,kW_el!D23/Anlagen!D23)</f>
        <v>170</v>
      </c>
      <c r="E23" s="10">
        <f>IF(Anlagen!E23=0,0,kW_el!E23/Anlagen!E23)</f>
        <v>190</v>
      </c>
      <c r="F23" s="10">
        <f>IF(Anlagen!F23=0,0,kW_el!F23/Anlagen!F23)</f>
        <v>607.5</v>
      </c>
      <c r="G23" s="10">
        <f>IF(Anlagen!G23=0,0,kW_el!G23/Anlagen!G23)</f>
        <v>524</v>
      </c>
      <c r="H23" s="10">
        <f>IF(Anlagen!H23=0,0,kW_el!H23/Anlagen!H23)</f>
        <v>524</v>
      </c>
      <c r="I23" s="10">
        <f>IF(Anlagen!I23=0,0,kW_el!I23/Anlagen!I23)</f>
        <v>458.33333333333331</v>
      </c>
      <c r="J23" s="10">
        <f>IF(Anlagen!J23=0,0,kW_el!J23/Anlagen!J23)</f>
        <v>467.14285714285717</v>
      </c>
      <c r="K23" s="10">
        <f>IF(Anlagen!K23=0,0,kW_el!K23/Anlagen!K23)</f>
        <v>575</v>
      </c>
    </row>
    <row r="24" spans="1:11">
      <c r="A24" s="2">
        <v>22</v>
      </c>
      <c r="B24" s="7">
        <v>317</v>
      </c>
      <c r="C24" s="2" t="s">
        <v>3</v>
      </c>
      <c r="D24" s="10">
        <f>IF(Anlagen!D24=0,0,kW_el!D24/Anlagen!D24)</f>
        <v>40</v>
      </c>
      <c r="E24" s="10">
        <f>IF(Anlagen!E24=0,0,kW_el!E24/Anlagen!E24)</f>
        <v>50</v>
      </c>
      <c r="F24" s="10">
        <f>IF(Anlagen!F24=0,0,kW_el!F24/Anlagen!F24)</f>
        <v>278.33333333333331</v>
      </c>
      <c r="G24" s="10">
        <f>IF(Anlagen!G24=0,0,kW_el!G24/Anlagen!G24)</f>
        <v>278.33333333333331</v>
      </c>
      <c r="H24" s="10">
        <f>IF(Anlagen!H24=0,0,kW_el!H24/Anlagen!H24)</f>
        <v>278.33333333333331</v>
      </c>
      <c r="I24" s="10">
        <f>IF(Anlagen!I24=0,0,kW_el!I24/Anlagen!I24)</f>
        <v>320.45454545454544</v>
      </c>
      <c r="J24" s="10">
        <f>IF(Anlagen!J24=0,0,kW_el!J24/Anlagen!J24)</f>
        <v>327.5</v>
      </c>
      <c r="K24" s="10">
        <f>IF(Anlagen!K24=0,0,kW_el!K24/Anlagen!K24)</f>
        <v>376.81818181818181</v>
      </c>
    </row>
    <row r="25" spans="1:11">
      <c r="A25" s="2">
        <v>23</v>
      </c>
      <c r="B25" s="7">
        <v>325</v>
      </c>
      <c r="C25" s="2" t="s">
        <v>4</v>
      </c>
      <c r="D25" s="10">
        <f>IF(Anlagen!D25=0,0,kW_el!D25/Anlagen!D25)</f>
        <v>133</v>
      </c>
      <c r="E25" s="10">
        <f>IF(Anlagen!E25=0,0,kW_el!E25/Anlagen!E25)</f>
        <v>133.75</v>
      </c>
      <c r="F25" s="10">
        <f>IF(Anlagen!F25=0,0,kW_el!F25/Anlagen!F25)</f>
        <v>238</v>
      </c>
      <c r="G25" s="10">
        <f>IF(Anlagen!G25=0,0,kW_el!G25/Anlagen!G25)</f>
        <v>274.4736842105263</v>
      </c>
      <c r="H25" s="10">
        <f>IF(Anlagen!H25=0,0,kW_el!H25/Anlagen!H25)</f>
        <v>309.90476190476193</v>
      </c>
      <c r="I25" s="10">
        <f>IF(Anlagen!I25=0,0,kW_el!I25/Anlagen!I25)</f>
        <v>315.81818181818181</v>
      </c>
      <c r="J25" s="10">
        <f>IF(Anlagen!J25=0,0,kW_el!J25/Anlagen!J25)</f>
        <v>353.45833333333331</v>
      </c>
      <c r="K25" s="10">
        <f>IF(Anlagen!K25=0,0,kW_el!K25/Anlagen!K25)</f>
        <v>347.03846153846155</v>
      </c>
    </row>
    <row r="26" spans="1:11">
      <c r="A26" s="2">
        <v>24</v>
      </c>
      <c r="B26" s="7">
        <v>326</v>
      </c>
      <c r="C26" s="2" t="s">
        <v>0</v>
      </c>
      <c r="D26" s="10">
        <f>IF(Anlagen!D26=0,0,kW_el!D26/Anlagen!D26)</f>
        <v>66.521739130434781</v>
      </c>
      <c r="E26" s="10">
        <f>IF(Anlagen!E26=0,0,kW_el!E26/Anlagen!E26)</f>
        <v>87.4</v>
      </c>
      <c r="F26" s="10">
        <f>IF(Anlagen!F26=0,0,kW_el!F26/Anlagen!F26)</f>
        <v>158.38235294117646</v>
      </c>
      <c r="G26" s="10">
        <f>IF(Anlagen!G26=0,0,kW_el!G26/Anlagen!G26)</f>
        <v>163.08823529411765</v>
      </c>
      <c r="H26" s="10">
        <f>IF(Anlagen!H26=0,0,kW_el!H26/Anlagen!H26)</f>
        <v>195.71428571428572</v>
      </c>
      <c r="I26" s="10">
        <f>IF(Anlagen!I26=0,0,kW_el!I26/Anlagen!I26)</f>
        <v>216.66666666666666</v>
      </c>
      <c r="J26" s="10">
        <f>IF(Anlagen!J26=0,0,kW_el!J26/Anlagen!J26)</f>
        <v>234.35897435897436</v>
      </c>
      <c r="K26" s="10">
        <f>IF(Anlagen!K26=0,0,kW_el!K26/Anlagen!K26)</f>
        <v>240.09756097560975</v>
      </c>
    </row>
    <row r="27" spans="1:11">
      <c r="A27" s="2">
        <v>25</v>
      </c>
      <c r="B27" s="7">
        <v>327</v>
      </c>
      <c r="C27" s="2" t="s">
        <v>6</v>
      </c>
      <c r="D27" s="10">
        <f>IF(Anlagen!D27=0,0,kW_el!D27/Anlagen!D27)</f>
        <v>104.09090909090909</v>
      </c>
      <c r="E27" s="10">
        <f>IF(Anlagen!E27=0,0,kW_el!E27/Anlagen!E27)</f>
        <v>125.38461538461539</v>
      </c>
      <c r="F27" s="10">
        <f>IF(Anlagen!F27=0,0,kW_el!F27/Anlagen!F27)</f>
        <v>167.5</v>
      </c>
      <c r="G27" s="10">
        <f>IF(Anlagen!G27=0,0,kW_el!G27/Anlagen!G27)</f>
        <v>172.94117647058823</v>
      </c>
      <c r="H27" s="10">
        <f>IF(Anlagen!H27=0,0,kW_el!H27/Anlagen!H27)</f>
        <v>219.70588235294119</v>
      </c>
      <c r="I27" s="10">
        <f>IF(Anlagen!I27=0,0,kW_el!I27/Anlagen!I27)</f>
        <v>245</v>
      </c>
      <c r="J27" s="10">
        <f>IF(Anlagen!J27=0,0,kW_el!J27/Anlagen!J27)</f>
        <v>275.25</v>
      </c>
      <c r="K27" s="10">
        <f>IF(Anlagen!K27=0,0,kW_el!K27/Anlagen!K27)</f>
        <v>300.75</v>
      </c>
    </row>
    <row r="28" spans="1:11">
      <c r="A28" s="2">
        <v>26</v>
      </c>
      <c r="B28" s="7">
        <v>335</v>
      </c>
      <c r="C28" s="2" t="s">
        <v>5</v>
      </c>
      <c r="D28" s="10">
        <f>IF(Anlagen!D28=0,0,kW_el!D28/Anlagen!D28)</f>
        <v>328.33333333333331</v>
      </c>
      <c r="E28" s="10">
        <f>IF(Anlagen!E28=0,0,kW_el!E28/Anlagen!E28)</f>
        <v>299</v>
      </c>
      <c r="F28" s="10">
        <f>IF(Anlagen!F28=0,0,kW_el!F28/Anlagen!F28)</f>
        <v>323.2</v>
      </c>
      <c r="G28" s="10">
        <f>IF(Anlagen!G28=0,0,kW_el!G28/Anlagen!G28)</f>
        <v>302.39999999999998</v>
      </c>
      <c r="H28" s="10">
        <f>IF(Anlagen!H28=0,0,kW_el!H28/Anlagen!H28)</f>
        <v>314.64285714285717</v>
      </c>
      <c r="I28" s="10">
        <f>IF(Anlagen!I28=0,0,kW_el!I28/Anlagen!I28)</f>
        <v>351.0344827586207</v>
      </c>
      <c r="J28" s="10">
        <f>IF(Anlagen!J28=0,0,kW_el!J28/Anlagen!J28)</f>
        <v>352.6875</v>
      </c>
      <c r="K28" s="10">
        <f>IF(Anlagen!K28=0,0,kW_el!K28/Anlagen!K28)</f>
        <v>383.15625</v>
      </c>
    </row>
    <row r="29" spans="1:11">
      <c r="A29" s="2">
        <v>27</v>
      </c>
      <c r="B29" s="7">
        <v>336</v>
      </c>
      <c r="C29" s="2" t="s">
        <v>38</v>
      </c>
      <c r="D29" s="10">
        <f>IF(Anlagen!D29=0,0,kW_el!D29/Anlagen!D29)</f>
        <v>0</v>
      </c>
      <c r="E29" s="10">
        <f>IF(Anlagen!E29=0,0,kW_el!E29/Anlagen!E29)</f>
        <v>0</v>
      </c>
      <c r="F29" s="10">
        <f>IF(Anlagen!F29=0,0,kW_el!F29/Anlagen!F29)</f>
        <v>0</v>
      </c>
      <c r="G29" s="10">
        <f>IF(Anlagen!G29=0,0,kW_el!G29/Anlagen!G29)</f>
        <v>0</v>
      </c>
      <c r="H29" s="10">
        <f>IF(Anlagen!H29=0,0,kW_el!H29/Anlagen!H29)</f>
        <v>0</v>
      </c>
      <c r="I29" s="10">
        <f>IF(Anlagen!I29=0,0,kW_el!I29/Anlagen!I29)</f>
        <v>0</v>
      </c>
      <c r="J29" s="10">
        <f>IF(Anlagen!J29=0,0,kW_el!J29/Anlagen!J29)</f>
        <v>0</v>
      </c>
      <c r="K29" s="10">
        <f>IF(Anlagen!K29=0,0,kW_el!K29/Anlagen!K29)</f>
        <v>300</v>
      </c>
    </row>
    <row r="30" spans="1:11">
      <c r="A30" s="2">
        <v>28</v>
      </c>
      <c r="B30" s="7">
        <v>337</v>
      </c>
      <c r="C30" s="2" t="s">
        <v>7</v>
      </c>
      <c r="D30" s="10">
        <f>IF(Anlagen!D30=0,0,kW_el!D30/Anlagen!D30)</f>
        <v>61.666666666666664</v>
      </c>
      <c r="E30" s="10">
        <f>IF(Anlagen!E30=0,0,kW_el!E30/Anlagen!E30)</f>
        <v>71.333333333333329</v>
      </c>
      <c r="F30" s="10">
        <f>IF(Anlagen!F30=0,0,kW_el!F30/Anlagen!F30)</f>
        <v>134.31818181818181</v>
      </c>
      <c r="G30" s="10">
        <f>IF(Anlagen!G30=0,0,kW_el!G30/Anlagen!G30)</f>
        <v>136.7391304347826</v>
      </c>
      <c r="H30" s="10">
        <f>IF(Anlagen!H30=0,0,kW_el!H30/Anlagen!H30)</f>
        <v>160.38461538461539</v>
      </c>
      <c r="I30" s="10">
        <f>IF(Anlagen!I30=0,0,kW_el!I30/Anlagen!I30)</f>
        <v>175.35714285714286</v>
      </c>
      <c r="J30" s="10">
        <f>IF(Anlagen!J30=0,0,kW_el!J30/Anlagen!J30)</f>
        <v>186.72413793103448</v>
      </c>
      <c r="K30" s="10">
        <f>IF(Anlagen!K30=0,0,kW_el!K30/Anlagen!K30)</f>
        <v>189.83333333333334</v>
      </c>
    </row>
    <row r="31" spans="1:11">
      <c r="A31" s="2">
        <v>29</v>
      </c>
      <c r="B31" s="7">
        <v>415</v>
      </c>
      <c r="C31" s="2" t="s">
        <v>11</v>
      </c>
      <c r="D31" s="10">
        <f>IF(Anlagen!D31=0,0,kW_el!D31/Anlagen!D31)</f>
        <v>55</v>
      </c>
      <c r="E31" s="10">
        <f>IF(Anlagen!E31=0,0,kW_el!E31/Anlagen!E31)</f>
        <v>100.83333333333333</v>
      </c>
      <c r="F31" s="10">
        <f>IF(Anlagen!F31=0,0,kW_el!F31/Anlagen!F31)</f>
        <v>197.77777777777777</v>
      </c>
      <c r="G31" s="10">
        <f>IF(Anlagen!G31=0,0,kW_el!G31/Anlagen!G31)</f>
        <v>211.1904761904762</v>
      </c>
      <c r="H31" s="10">
        <f>IF(Anlagen!H31=0,0,kW_el!H31/Anlagen!H31)</f>
        <v>211.36363636363637</v>
      </c>
      <c r="I31" s="10">
        <f>IF(Anlagen!I31=0,0,kW_el!I31/Anlagen!I31)</f>
        <v>215.2</v>
      </c>
      <c r="J31" s="10">
        <f>IF(Anlagen!J31=0,0,kW_el!J31/Anlagen!J31)</f>
        <v>301.83333333333331</v>
      </c>
      <c r="K31" s="10">
        <f>IF(Anlagen!K31=0,0,kW_el!K31/Anlagen!K31)</f>
        <v>322.20588235294116</v>
      </c>
    </row>
    <row r="32" spans="1:11">
      <c r="A32" s="2">
        <v>30</v>
      </c>
      <c r="B32" s="7">
        <v>416</v>
      </c>
      <c r="C32" s="2" t="s">
        <v>13</v>
      </c>
      <c r="D32" s="10">
        <f>IF(Anlagen!D32=0,0,kW_el!D32/Anlagen!D32)</f>
        <v>50</v>
      </c>
      <c r="E32" s="10">
        <f>IF(Anlagen!E32=0,0,kW_el!E32/Anlagen!E32)</f>
        <v>86.666666666666671</v>
      </c>
      <c r="F32" s="10">
        <f>IF(Anlagen!F32=0,0,kW_el!F32/Anlagen!F32)</f>
        <v>191</v>
      </c>
      <c r="G32" s="10">
        <f>IF(Anlagen!G32=0,0,kW_el!G32/Anlagen!G32)</f>
        <v>205</v>
      </c>
      <c r="H32" s="10">
        <f>IF(Anlagen!H32=0,0,kW_el!H32/Anlagen!H32)</f>
        <v>271.5</v>
      </c>
      <c r="I32" s="10">
        <f>IF(Anlagen!I32=0,0,kW_el!I32/Anlagen!I32)</f>
        <v>271.5</v>
      </c>
      <c r="J32" s="10">
        <f>IF(Anlagen!J32=0,0,kW_el!J32/Anlagen!J32)</f>
        <v>273.46153846153845</v>
      </c>
      <c r="K32" s="10">
        <f>IF(Anlagen!K32=0,0,kW_el!K32/Anlagen!K32)</f>
        <v>309.33333333333331</v>
      </c>
    </row>
    <row r="33" spans="1:11">
      <c r="A33" s="2">
        <v>31</v>
      </c>
      <c r="B33" s="7">
        <v>417</v>
      </c>
      <c r="C33" s="2" t="s">
        <v>8</v>
      </c>
      <c r="D33" s="10">
        <f>IF(Anlagen!D33=0,0,kW_el!D33/Anlagen!D33)</f>
        <v>75.833333333333329</v>
      </c>
      <c r="E33" s="10">
        <f>IF(Anlagen!E33=0,0,kW_el!E33/Anlagen!E33)</f>
        <v>105.71428571428571</v>
      </c>
      <c r="F33" s="10">
        <f>IF(Anlagen!F33=0,0,kW_el!F33/Anlagen!F33)</f>
        <v>221</v>
      </c>
      <c r="G33" s="10">
        <f>IF(Anlagen!G33=0,0,kW_el!G33/Anlagen!G33)</f>
        <v>221</v>
      </c>
      <c r="H33" s="10">
        <f>IF(Anlagen!H33=0,0,kW_el!H33/Anlagen!H33)</f>
        <v>223</v>
      </c>
      <c r="I33" s="10">
        <f>IF(Anlagen!I33=0,0,kW_el!I33/Anlagen!I33)</f>
        <v>220</v>
      </c>
      <c r="J33" s="10">
        <f>IF(Anlagen!J33=0,0,kW_el!J33/Anlagen!J33)</f>
        <v>291.78571428571428</v>
      </c>
      <c r="K33" s="10">
        <f>IF(Anlagen!K33=0,0,kW_el!K33/Anlagen!K33)</f>
        <v>297.5</v>
      </c>
    </row>
    <row r="34" spans="1:11">
      <c r="A34" s="2">
        <v>32</v>
      </c>
      <c r="B34" s="7">
        <v>425</v>
      </c>
      <c r="C34" s="2" t="s">
        <v>15</v>
      </c>
      <c r="D34" s="10">
        <f>IF(Anlagen!D34=0,0,kW_el!D34/Anlagen!D34)</f>
        <v>64.642857142857139</v>
      </c>
      <c r="E34" s="10">
        <f>IF(Anlagen!E34=0,0,kW_el!E34/Anlagen!E34)</f>
        <v>123.23529411764706</v>
      </c>
      <c r="F34" s="10">
        <f>IF(Anlagen!F34=0,0,kW_el!F34/Anlagen!F34)</f>
        <v>268.21052631578948</v>
      </c>
      <c r="G34" s="10">
        <f>IF(Anlagen!G34=0,0,kW_el!G34/Anlagen!G34)</f>
        <v>273.43589743589746</v>
      </c>
      <c r="H34" s="10">
        <f>IF(Anlagen!H34=0,0,kW_el!H34/Anlagen!H34)</f>
        <v>290.61538461538464</v>
      </c>
      <c r="I34" s="10">
        <f>IF(Anlagen!I34=0,0,kW_el!I34/Anlagen!I34)</f>
        <v>279.27999999999997</v>
      </c>
      <c r="J34" s="10">
        <f>IF(Anlagen!J34=0,0,kW_el!J34/Anlagen!J34)</f>
        <v>294.6307692307692</v>
      </c>
      <c r="K34" s="10">
        <f>IF(Anlagen!K34=0,0,kW_el!K34/Anlagen!K34)</f>
        <v>317.53424657534248</v>
      </c>
    </row>
    <row r="35" spans="1:11">
      <c r="A35" s="2">
        <v>33</v>
      </c>
      <c r="B35" s="7">
        <v>426</v>
      </c>
      <c r="C35" s="2" t="s">
        <v>9</v>
      </c>
      <c r="D35" s="10">
        <f>IF(Anlagen!D35=0,0,kW_el!D35/Anlagen!D35)</f>
        <v>71.851851851851848</v>
      </c>
      <c r="E35" s="10">
        <f>IF(Anlagen!E35=0,0,kW_el!E35/Anlagen!E35)</f>
        <v>123.33333333333333</v>
      </c>
      <c r="F35" s="10">
        <f>IF(Anlagen!F35=0,0,kW_el!F35/Anlagen!F35)</f>
        <v>217.63636363636363</v>
      </c>
      <c r="G35" s="10">
        <f>IF(Anlagen!G35=0,0,kW_el!G35/Anlagen!G35)</f>
        <v>274</v>
      </c>
      <c r="H35" s="10">
        <f>IF(Anlagen!H35=0,0,kW_el!H35/Anlagen!H35)</f>
        <v>297.65625</v>
      </c>
      <c r="I35" s="10">
        <f>IF(Anlagen!I35=0,0,kW_el!I35/Anlagen!I35)</f>
        <v>327.23076923076923</v>
      </c>
      <c r="J35" s="10">
        <f>IF(Anlagen!J35=0,0,kW_el!J35/Anlagen!J35)</f>
        <v>344.59459459459458</v>
      </c>
      <c r="K35" s="10">
        <f>IF(Anlagen!K35=0,0,kW_el!K35/Anlagen!K35)</f>
        <v>380.64102564102564</v>
      </c>
    </row>
    <row r="36" spans="1:11">
      <c r="A36" s="2">
        <v>34</v>
      </c>
      <c r="B36" s="7">
        <v>435</v>
      </c>
      <c r="C36" s="2" t="s">
        <v>10</v>
      </c>
      <c r="D36" s="10">
        <f>IF(Anlagen!D36=0,0,kW_el!D36/Anlagen!D36)</f>
        <v>61.25</v>
      </c>
      <c r="E36" s="10">
        <f>IF(Anlagen!E36=0,0,kW_el!E36/Anlagen!E36)</f>
        <v>97.727272727272734</v>
      </c>
      <c r="F36" s="10">
        <f>IF(Anlagen!F36=0,0,kW_el!F36/Anlagen!F36)</f>
        <v>152.08333333333334</v>
      </c>
      <c r="G36" s="10">
        <f>IF(Anlagen!G36=0,0,kW_el!G36/Anlagen!G36)</f>
        <v>141.25</v>
      </c>
      <c r="H36" s="10">
        <f>IF(Anlagen!H36=0,0,kW_el!H36/Anlagen!H36)</f>
        <v>141.25</v>
      </c>
      <c r="I36" s="10">
        <f>IF(Anlagen!I36=0,0,kW_el!I36/Anlagen!I36)</f>
        <v>128.21428571428572</v>
      </c>
      <c r="J36" s="10">
        <f>IF(Anlagen!J36=0,0,kW_el!J36/Anlagen!J36)</f>
        <v>176.78571428571428</v>
      </c>
      <c r="K36" s="10">
        <f>IF(Anlagen!K36=0,0,kW_el!K36/Anlagen!K36)</f>
        <v>199.70588235294119</v>
      </c>
    </row>
    <row r="37" spans="1:11">
      <c r="A37" s="2">
        <v>35</v>
      </c>
      <c r="B37" s="7">
        <v>436</v>
      </c>
      <c r="C37" s="2" t="s">
        <v>12</v>
      </c>
      <c r="D37" s="10">
        <f>IF(Anlagen!D37=0,0,kW_el!D37/Anlagen!D37)</f>
        <v>79.148936170212764</v>
      </c>
      <c r="E37" s="10">
        <f>IF(Anlagen!E37=0,0,kW_el!E37/Anlagen!E37)</f>
        <v>89.811320754716988</v>
      </c>
      <c r="F37" s="10">
        <f>IF(Anlagen!F37=0,0,kW_el!F37/Anlagen!F37)</f>
        <v>132.78571428571428</v>
      </c>
      <c r="G37" s="10">
        <f>IF(Anlagen!G37=0,0,kW_el!G37/Anlagen!G37)</f>
        <v>153.68055555555554</v>
      </c>
      <c r="H37" s="10">
        <f>IF(Anlagen!H37=0,0,kW_el!H37/Anlagen!H37)</f>
        <v>186.45833333333334</v>
      </c>
      <c r="I37" s="10">
        <f>IF(Anlagen!I37=0,0,kW_el!I37/Anlagen!I37)</f>
        <v>191.7948717948718</v>
      </c>
      <c r="J37" s="10">
        <f>IF(Anlagen!J37=0,0,kW_el!J37/Anlagen!J37)</f>
        <v>203.63636363636363</v>
      </c>
      <c r="K37" s="10">
        <f>IF(Anlagen!K37=0,0,kW_el!K37/Anlagen!K37)</f>
        <v>240.25510204081633</v>
      </c>
    </row>
    <row r="38" spans="1:11">
      <c r="A38" s="2">
        <v>36</v>
      </c>
      <c r="B38" s="7">
        <v>437</v>
      </c>
      <c r="C38" s="2" t="s">
        <v>14</v>
      </c>
      <c r="D38" s="10">
        <f>IF(Anlagen!D38=0,0,kW_el!D38/Anlagen!D38)</f>
        <v>141.15384615384616</v>
      </c>
      <c r="E38" s="10">
        <f>IF(Anlagen!E38=0,0,kW_el!E38/Anlagen!E38)</f>
        <v>202.5</v>
      </c>
      <c r="F38" s="10">
        <f>IF(Anlagen!F38=0,0,kW_el!F38/Anlagen!F38)</f>
        <v>226.34482758620689</v>
      </c>
      <c r="G38" s="10">
        <f>IF(Anlagen!G38=0,0,kW_el!G38/Anlagen!G38)</f>
        <v>243.46666666666667</v>
      </c>
      <c r="H38" s="10">
        <f>IF(Anlagen!H38=0,0,kW_el!H38/Anlagen!H38)</f>
        <v>286.80645161290323</v>
      </c>
      <c r="I38" s="10">
        <f>IF(Anlagen!I38=0,0,kW_el!I38/Anlagen!I38)</f>
        <v>315.41666666666669</v>
      </c>
      <c r="J38" s="10">
        <f>IF(Anlagen!J38=0,0,kW_el!J38/Anlagen!J38)</f>
        <v>371.04761904761904</v>
      </c>
      <c r="K38" s="10">
        <f>IF(Anlagen!K38=0,0,kW_el!K38/Anlagen!K38)</f>
        <v>415.70833333333331</v>
      </c>
    </row>
    <row r="39" spans="1:11">
      <c r="A39" s="2">
        <v>37</v>
      </c>
      <c r="B39" s="7">
        <v>999</v>
      </c>
      <c r="C39" s="2" t="s">
        <v>34</v>
      </c>
      <c r="D39" s="10">
        <f>IF(Anlagen!D39=0,0,kW_el!D39/Anlagen!D39)</f>
        <v>97.904593639575978</v>
      </c>
      <c r="E39" s="10">
        <f>IF(Anlagen!E39=0,0,kW_el!E39/Anlagen!E39)</f>
        <v>120.84393063583815</v>
      </c>
      <c r="F39" s="10">
        <f>IF(Anlagen!F39=0,0,kW_el!F39/Anlagen!F39)</f>
        <v>198.17113402061855</v>
      </c>
      <c r="G39" s="10">
        <f>IF(Anlagen!G39=0,0,kW_el!G39/Anlagen!G39)</f>
        <v>223.55263157894737</v>
      </c>
      <c r="H39" s="10">
        <f>IF(Anlagen!H39=0,0,kW_el!H39/Anlagen!H39)</f>
        <v>251.86379928315412</v>
      </c>
      <c r="I39" s="10">
        <f>IF(Anlagen!I39=0,0,kW_el!I39/Anlagen!I39)</f>
        <v>264.3235294117647</v>
      </c>
      <c r="J39" s="10">
        <f>IF(Anlagen!J39=0,0,kW_el!J39/Anlagen!J39)</f>
        <v>286.1043723554302</v>
      </c>
      <c r="K39" s="10">
        <f>IF(Anlagen!K39=0,0,kW_el!K39/Anlagen!K39)</f>
        <v>321.5175879396985</v>
      </c>
    </row>
    <row r="41" spans="1:11">
      <c r="B41" s="11" t="s">
        <v>41</v>
      </c>
      <c r="C41" s="11"/>
      <c r="D41" s="11">
        <v>38352</v>
      </c>
      <c r="E41" s="11">
        <v>38564</v>
      </c>
      <c r="F41" s="12">
        <f>IF(Anlagen!F41="","",Anlagen!F41)</f>
        <v>39082</v>
      </c>
      <c r="G41" s="11">
        <v>39447</v>
      </c>
      <c r="H41" s="11">
        <v>39813</v>
      </c>
      <c r="I41" s="11">
        <v>40178</v>
      </c>
      <c r="J41" s="11">
        <v>40543</v>
      </c>
      <c r="K41" s="11">
        <v>40908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J41" sqref="J41"/>
    </sheetView>
  </sheetViews>
  <sheetFormatPr baseColWidth="10" defaultRowHeight="12.75"/>
  <cols>
    <col min="1" max="1" width="3" style="2" bestFit="1" customWidth="1"/>
    <col min="2" max="2" width="7.5703125" style="7" customWidth="1"/>
    <col min="3" max="3" width="24" style="2" bestFit="1" customWidth="1"/>
    <col min="4" max="6" width="11.42578125" style="2"/>
    <col min="7" max="7" width="12.85546875" style="2" bestFit="1" customWidth="1"/>
    <col min="8" max="9" width="11.42578125" style="2"/>
    <col min="10" max="10" width="12.85546875" style="2" bestFit="1" customWidth="1"/>
    <col min="11" max="11" width="11.42578125" style="2"/>
    <col min="12" max="12" width="16.42578125" style="2" bestFit="1" customWidth="1"/>
    <col min="13" max="16384" width="11.42578125" style="2"/>
  </cols>
  <sheetData>
    <row r="1" spans="1:11">
      <c r="D1" s="9" t="s">
        <v>53</v>
      </c>
      <c r="E1" s="1"/>
      <c r="F1" s="1"/>
      <c r="G1" s="1"/>
      <c r="H1" s="1"/>
      <c r="I1" s="1"/>
    </row>
    <row r="2" spans="1:11">
      <c r="B2" s="4" t="s">
        <v>35</v>
      </c>
      <c r="C2" s="5" t="s">
        <v>36</v>
      </c>
      <c r="D2" s="6">
        <v>2004</v>
      </c>
      <c r="E2" s="6">
        <v>2005</v>
      </c>
      <c r="F2" s="6">
        <v>2006</v>
      </c>
      <c r="G2" s="6">
        <v>2007</v>
      </c>
      <c r="H2" s="6">
        <v>2008</v>
      </c>
      <c r="I2" s="6">
        <v>2009</v>
      </c>
      <c r="J2" s="6">
        <v>2010</v>
      </c>
      <c r="K2" s="6">
        <v>2011</v>
      </c>
    </row>
    <row r="3" spans="1:11">
      <c r="A3" s="2">
        <v>1</v>
      </c>
      <c r="B3" s="7">
        <v>111</v>
      </c>
      <c r="C3" s="2" t="s">
        <v>23</v>
      </c>
      <c r="D3" s="10"/>
      <c r="E3" s="10"/>
      <c r="F3" s="10"/>
      <c r="G3" s="10">
        <v>108</v>
      </c>
      <c r="H3" s="10"/>
      <c r="I3" s="10"/>
      <c r="J3" s="10">
        <f>214+125</f>
        <v>339</v>
      </c>
      <c r="K3" s="10"/>
    </row>
    <row r="4" spans="1:11">
      <c r="A4" s="2">
        <v>2</v>
      </c>
      <c r="B4" s="7">
        <v>115</v>
      </c>
      <c r="C4" s="2" t="s">
        <v>21</v>
      </c>
      <c r="D4" s="10"/>
      <c r="E4" s="10"/>
      <c r="F4" s="10"/>
      <c r="G4" s="10">
        <f>215+20+827</f>
        <v>1062</v>
      </c>
      <c r="H4" s="10"/>
      <c r="I4" s="10"/>
      <c r="J4" s="10">
        <f>382+851</f>
        <v>1233</v>
      </c>
      <c r="K4" s="10"/>
    </row>
    <row r="5" spans="1:11">
      <c r="A5" s="2">
        <v>3</v>
      </c>
      <c r="B5" s="7">
        <v>116</v>
      </c>
      <c r="C5" s="2" t="s">
        <v>25</v>
      </c>
      <c r="D5" s="10"/>
      <c r="E5" s="10"/>
      <c r="F5" s="10"/>
      <c r="G5" s="10">
        <f>594+64+783</f>
        <v>1441</v>
      </c>
      <c r="H5" s="10"/>
      <c r="I5" s="10"/>
      <c r="J5" s="32">
        <f>843+882</f>
        <v>1725</v>
      </c>
      <c r="K5" s="32"/>
    </row>
    <row r="6" spans="1:11">
      <c r="A6" s="2">
        <v>4</v>
      </c>
      <c r="B6" s="7">
        <v>117</v>
      </c>
      <c r="C6" s="2" t="s">
        <v>18</v>
      </c>
      <c r="D6" s="32"/>
      <c r="E6" s="32"/>
      <c r="F6" s="32"/>
      <c r="G6" s="32">
        <f>0+1936</f>
        <v>1936</v>
      </c>
      <c r="H6" s="32"/>
      <c r="I6" s="32"/>
      <c r="J6" s="32">
        <f>185+2179</f>
        <v>2364</v>
      </c>
      <c r="K6" s="32"/>
    </row>
    <row r="7" spans="1:11">
      <c r="A7" s="2">
        <v>5</v>
      </c>
      <c r="B7" s="7">
        <v>118</v>
      </c>
      <c r="C7" s="2" t="s">
        <v>24</v>
      </c>
      <c r="D7" s="32"/>
      <c r="E7" s="32"/>
      <c r="F7" s="32"/>
      <c r="G7" s="32">
        <f>1466+66+2267</f>
        <v>3799</v>
      </c>
      <c r="H7" s="32"/>
      <c r="I7" s="32"/>
      <c r="J7" s="32">
        <f>1779+2984</f>
        <v>4763</v>
      </c>
      <c r="K7" s="32"/>
    </row>
    <row r="8" spans="1:11">
      <c r="A8" s="2">
        <v>6</v>
      </c>
      <c r="B8" s="7">
        <v>119</v>
      </c>
      <c r="C8" s="2" t="s">
        <v>16</v>
      </c>
      <c r="D8" s="32"/>
      <c r="E8" s="32"/>
      <c r="F8" s="32"/>
      <c r="G8" s="32">
        <f>988+38+1439</f>
        <v>2465</v>
      </c>
      <c r="H8" s="32"/>
      <c r="I8" s="32"/>
      <c r="J8" s="32">
        <f>1226+1827</f>
        <v>3053</v>
      </c>
      <c r="K8" s="32"/>
    </row>
    <row r="9" spans="1:11">
      <c r="A9" s="2">
        <v>7</v>
      </c>
      <c r="B9" s="7">
        <v>125</v>
      </c>
      <c r="C9" s="2" t="s">
        <v>20</v>
      </c>
      <c r="D9" s="32"/>
      <c r="E9" s="32"/>
      <c r="F9" s="32"/>
      <c r="G9" s="32">
        <f>0+1849+64+28+1887</f>
        <v>3828</v>
      </c>
      <c r="H9" s="32"/>
      <c r="I9" s="32"/>
      <c r="J9" s="32">
        <f>170+2966+78+1975</f>
        <v>5189</v>
      </c>
      <c r="K9" s="32"/>
    </row>
    <row r="10" spans="1:11">
      <c r="A10" s="2">
        <v>8</v>
      </c>
      <c r="B10" s="7">
        <v>126</v>
      </c>
      <c r="C10" s="2" t="s">
        <v>26</v>
      </c>
      <c r="D10" s="32"/>
      <c r="E10" s="32"/>
      <c r="F10" s="32"/>
      <c r="G10" s="32">
        <f>757+698+2210</f>
        <v>3665</v>
      </c>
      <c r="H10" s="32"/>
      <c r="I10" s="32"/>
      <c r="J10" s="32">
        <f>1874+2777</f>
        <v>4651</v>
      </c>
      <c r="K10" s="32"/>
    </row>
    <row r="11" spans="1:11">
      <c r="A11" s="2">
        <v>9</v>
      </c>
      <c r="B11" s="7">
        <v>127</v>
      </c>
      <c r="C11" s="2" t="s">
        <v>22</v>
      </c>
      <c r="D11" s="32"/>
      <c r="E11" s="32"/>
      <c r="F11" s="32"/>
      <c r="G11" s="32">
        <f>541+1077+5060</f>
        <v>6678</v>
      </c>
      <c r="H11" s="32"/>
      <c r="I11" s="32"/>
      <c r="J11" s="32">
        <f>1768+6515</f>
        <v>8283</v>
      </c>
      <c r="K11" s="32"/>
    </row>
    <row r="12" spans="1:11">
      <c r="A12" s="2">
        <v>10</v>
      </c>
      <c r="B12" s="8">
        <v>128</v>
      </c>
      <c r="C12" s="3" t="s">
        <v>39</v>
      </c>
      <c r="D12" s="32"/>
      <c r="E12" s="32"/>
      <c r="F12" s="32"/>
      <c r="G12" s="32">
        <f>294+52+2648</f>
        <v>2994</v>
      </c>
      <c r="H12" s="32"/>
      <c r="I12" s="32"/>
      <c r="J12" s="32">
        <f>582+3294</f>
        <v>3876</v>
      </c>
      <c r="K12" s="32"/>
    </row>
    <row r="13" spans="1:11">
      <c r="A13" s="2">
        <v>11</v>
      </c>
      <c r="B13" s="7">
        <v>135</v>
      </c>
      <c r="C13" s="2" t="s">
        <v>19</v>
      </c>
      <c r="D13" s="32"/>
      <c r="E13" s="32"/>
      <c r="F13" s="32"/>
      <c r="G13" s="32">
        <f>109+90+2240</f>
        <v>2439</v>
      </c>
      <c r="H13" s="32"/>
      <c r="I13" s="32"/>
      <c r="J13" s="32">
        <f>275+2727</f>
        <v>3002</v>
      </c>
      <c r="K13" s="32"/>
    </row>
    <row r="14" spans="1:11">
      <c r="A14" s="2">
        <v>12</v>
      </c>
      <c r="B14" s="7">
        <v>136</v>
      </c>
      <c r="C14" s="2" t="s">
        <v>17</v>
      </c>
      <c r="D14" s="32"/>
      <c r="E14" s="32"/>
      <c r="F14" s="32"/>
      <c r="G14" s="32">
        <f>251+39+6368</f>
        <v>6658</v>
      </c>
      <c r="H14" s="32"/>
      <c r="I14" s="32"/>
      <c r="J14" s="32">
        <f>302+7772</f>
        <v>8074</v>
      </c>
      <c r="K14" s="32"/>
    </row>
    <row r="15" spans="1:11">
      <c r="A15" s="2">
        <v>13</v>
      </c>
      <c r="B15" s="7">
        <v>215</v>
      </c>
      <c r="C15" s="2" t="s">
        <v>28</v>
      </c>
      <c r="D15" s="32"/>
      <c r="E15" s="32"/>
      <c r="F15" s="32"/>
      <c r="G15" s="32">
        <f>547+0+4999+140+593</f>
        <v>6279</v>
      </c>
      <c r="H15" s="32"/>
      <c r="I15" s="32"/>
      <c r="J15" s="32">
        <f>500+5973+690</f>
        <v>7163</v>
      </c>
      <c r="K15" s="32"/>
    </row>
    <row r="16" spans="1:11">
      <c r="A16" s="2">
        <v>14</v>
      </c>
      <c r="B16" s="7">
        <v>216</v>
      </c>
      <c r="C16" s="2" t="s">
        <v>33</v>
      </c>
      <c r="D16" s="32"/>
      <c r="E16" s="32"/>
      <c r="F16" s="32"/>
      <c r="G16" s="32">
        <f>263+0+4086+53+224</f>
        <v>4626</v>
      </c>
      <c r="H16" s="32"/>
      <c r="I16" s="32"/>
      <c r="J16" s="32">
        <f>294+4509+300</f>
        <v>5103</v>
      </c>
      <c r="K16" s="32"/>
    </row>
    <row r="17" spans="1:11">
      <c r="A17" s="2">
        <v>15</v>
      </c>
      <c r="B17" s="7">
        <v>225</v>
      </c>
      <c r="C17" s="2" t="s">
        <v>27</v>
      </c>
      <c r="D17" s="32"/>
      <c r="E17" s="32"/>
      <c r="F17" s="32"/>
      <c r="G17" s="32">
        <f>389+199+3000</f>
        <v>3588</v>
      </c>
      <c r="H17" s="32"/>
      <c r="I17" s="32"/>
      <c r="J17" s="32">
        <f>785+3186</f>
        <v>3971</v>
      </c>
      <c r="K17" s="32"/>
    </row>
    <row r="18" spans="1:11">
      <c r="A18" s="2">
        <v>16</v>
      </c>
      <c r="B18" s="7">
        <v>226</v>
      </c>
      <c r="C18" s="2" t="s">
        <v>31</v>
      </c>
      <c r="D18" s="32"/>
      <c r="E18" s="32"/>
      <c r="F18" s="32"/>
      <c r="G18" s="32">
        <f>102+0+464+0+3017+176+66+11+1933</f>
        <v>5769</v>
      </c>
      <c r="H18" s="32"/>
      <c r="I18" s="32"/>
      <c r="J18" s="32">
        <f>4030+192+578+52+11+1905</f>
        <v>6768</v>
      </c>
      <c r="K18" s="32"/>
    </row>
    <row r="19" spans="1:11">
      <c r="A19" s="2">
        <v>17</v>
      </c>
      <c r="B19" s="7">
        <v>235</v>
      </c>
      <c r="C19" s="2" t="s">
        <v>32</v>
      </c>
      <c r="D19" s="32"/>
      <c r="E19" s="32"/>
      <c r="F19" s="32"/>
      <c r="G19" s="32">
        <f>4+0+527</f>
        <v>531</v>
      </c>
      <c r="H19" s="32"/>
      <c r="I19" s="32"/>
      <c r="J19" s="32">
        <v>746</v>
      </c>
      <c r="K19" s="32"/>
    </row>
    <row r="20" spans="1:11">
      <c r="A20" s="2">
        <v>18</v>
      </c>
      <c r="B20" s="7">
        <v>236</v>
      </c>
      <c r="C20" s="2" t="s">
        <v>30</v>
      </c>
      <c r="D20" s="32"/>
      <c r="E20" s="32"/>
      <c r="F20" s="32"/>
      <c r="G20" s="32">
        <f>32+0+0+0+53+1189</f>
        <v>1274</v>
      </c>
      <c r="H20" s="32"/>
      <c r="I20" s="32"/>
      <c r="J20" s="32">
        <f>847+34+65+1284</f>
        <v>2230</v>
      </c>
      <c r="K20" s="32"/>
    </row>
    <row r="21" spans="1:11">
      <c r="A21" s="2">
        <v>19</v>
      </c>
      <c r="B21" s="7">
        <v>237</v>
      </c>
      <c r="C21" s="2" t="s">
        <v>29</v>
      </c>
      <c r="D21" s="32"/>
      <c r="E21" s="32"/>
      <c r="F21" s="32"/>
      <c r="G21" s="32">
        <f>0+0+872</f>
        <v>872</v>
      </c>
      <c r="H21" s="32"/>
      <c r="I21" s="32"/>
      <c r="J21" s="32">
        <v>1139</v>
      </c>
      <c r="K21" s="32"/>
    </row>
    <row r="22" spans="1:11">
      <c r="A22" s="2">
        <v>20</v>
      </c>
      <c r="B22" s="7">
        <v>315</v>
      </c>
      <c r="C22" s="2" t="s">
        <v>2</v>
      </c>
      <c r="D22" s="32"/>
      <c r="E22" s="32"/>
      <c r="F22" s="32"/>
      <c r="G22" s="32">
        <f>8350+51+25+662</f>
        <v>9088</v>
      </c>
      <c r="H22" s="32"/>
      <c r="I22" s="32"/>
      <c r="J22" s="32">
        <f>1008+9390+30+654</f>
        <v>11082</v>
      </c>
      <c r="K22" s="32"/>
    </row>
    <row r="23" spans="1:11" s="3" customFormat="1">
      <c r="A23" s="2">
        <v>21</v>
      </c>
      <c r="B23" s="7">
        <v>316</v>
      </c>
      <c r="C23" s="2" t="s">
        <v>1</v>
      </c>
      <c r="D23" s="32"/>
      <c r="E23" s="32"/>
      <c r="F23" s="32"/>
      <c r="G23" s="32">
        <f>5076+53+755</f>
        <v>5884</v>
      </c>
      <c r="H23" s="32"/>
      <c r="I23" s="32"/>
      <c r="J23" s="32">
        <f>5102+826</f>
        <v>5928</v>
      </c>
      <c r="K23" s="32"/>
    </row>
    <row r="24" spans="1:11">
      <c r="A24" s="2">
        <v>22</v>
      </c>
      <c r="B24" s="7">
        <v>317</v>
      </c>
      <c r="C24" s="2" t="s">
        <v>3</v>
      </c>
      <c r="D24" s="32"/>
      <c r="E24" s="32"/>
      <c r="F24" s="32"/>
      <c r="G24" s="32">
        <f>13772+331+1618</f>
        <v>15721</v>
      </c>
      <c r="H24" s="32"/>
      <c r="I24" s="32"/>
      <c r="J24" s="32">
        <f>12762+1715</f>
        <v>14477</v>
      </c>
      <c r="K24" s="32"/>
    </row>
    <row r="25" spans="1:11">
      <c r="A25" s="2">
        <v>23</v>
      </c>
      <c r="B25" s="7">
        <v>325</v>
      </c>
      <c r="C25" s="2" t="s">
        <v>4</v>
      </c>
      <c r="D25" s="32"/>
      <c r="E25" s="32"/>
      <c r="F25" s="32"/>
      <c r="G25" s="32">
        <f>15+15+1863</f>
        <v>1893</v>
      </c>
      <c r="H25" s="32"/>
      <c r="I25" s="32"/>
      <c r="J25" s="32">
        <f>2631</f>
        <v>2631</v>
      </c>
      <c r="K25" s="32"/>
    </row>
    <row r="26" spans="1:11">
      <c r="A26" s="2">
        <v>24</v>
      </c>
      <c r="B26" s="7">
        <v>326</v>
      </c>
      <c r="C26" s="2" t="s">
        <v>0</v>
      </c>
      <c r="D26" s="32"/>
      <c r="E26" s="32"/>
      <c r="F26" s="32"/>
      <c r="G26" s="32">
        <f>0+1764</f>
        <v>1764</v>
      </c>
      <c r="H26" s="32"/>
      <c r="I26" s="32"/>
      <c r="J26" s="32">
        <v>2629</v>
      </c>
      <c r="K26" s="32"/>
    </row>
    <row r="27" spans="1:11">
      <c r="A27" s="2">
        <v>25</v>
      </c>
      <c r="B27" s="7">
        <v>327</v>
      </c>
      <c r="C27" s="2" t="s">
        <v>6</v>
      </c>
      <c r="D27" s="32"/>
      <c r="E27" s="32"/>
      <c r="F27" s="32"/>
      <c r="G27" s="32">
        <f>37+950</f>
        <v>987</v>
      </c>
      <c r="H27" s="32"/>
      <c r="I27" s="32"/>
      <c r="J27" s="32">
        <f>25+1328</f>
        <v>1353</v>
      </c>
      <c r="K27" s="32"/>
    </row>
    <row r="28" spans="1:11">
      <c r="A28" s="2">
        <v>26</v>
      </c>
      <c r="B28" s="7">
        <v>335</v>
      </c>
      <c r="C28" s="2" t="s">
        <v>5</v>
      </c>
      <c r="D28" s="32"/>
      <c r="E28" s="32"/>
      <c r="F28" s="32"/>
      <c r="G28" s="32">
        <f>1699+84+3226</f>
        <v>5009</v>
      </c>
      <c r="H28" s="32"/>
      <c r="I28" s="32"/>
      <c r="J28" s="32">
        <f>2055+3601</f>
        <v>5656</v>
      </c>
      <c r="K28" s="32"/>
    </row>
    <row r="29" spans="1:11">
      <c r="A29" s="2">
        <v>27</v>
      </c>
      <c r="B29" s="7">
        <v>336</v>
      </c>
      <c r="C29" s="2" t="s">
        <v>38</v>
      </c>
      <c r="D29" s="32"/>
      <c r="E29" s="32"/>
      <c r="F29" s="32"/>
      <c r="G29" s="32">
        <f>2571+56+659</f>
        <v>3286</v>
      </c>
      <c r="H29" s="32"/>
      <c r="I29" s="32"/>
      <c r="J29" s="32">
        <f>2593+602</f>
        <v>3195</v>
      </c>
      <c r="K29" s="32"/>
    </row>
    <row r="30" spans="1:11">
      <c r="A30" s="2">
        <v>28</v>
      </c>
      <c r="B30" s="7">
        <v>337</v>
      </c>
      <c r="C30" s="2" t="s">
        <v>7</v>
      </c>
      <c r="D30" s="32"/>
      <c r="E30" s="32"/>
      <c r="F30" s="32"/>
      <c r="G30" s="32">
        <f>411+71+2490</f>
        <v>2972</v>
      </c>
      <c r="H30" s="32"/>
      <c r="I30" s="32"/>
      <c r="J30" s="32">
        <f>474+3096</f>
        <v>3570</v>
      </c>
      <c r="K30" s="32"/>
    </row>
    <row r="31" spans="1:11">
      <c r="A31" s="2">
        <v>29</v>
      </c>
      <c r="B31" s="7">
        <v>415</v>
      </c>
      <c r="C31" s="2" t="s">
        <v>11</v>
      </c>
      <c r="D31" s="32"/>
      <c r="E31" s="32"/>
      <c r="F31" s="32"/>
      <c r="G31" s="32">
        <f>0+2531</f>
        <v>2531</v>
      </c>
      <c r="H31" s="32"/>
      <c r="I31" s="32"/>
      <c r="J31" s="32">
        <f>86+3259</f>
        <v>3345</v>
      </c>
      <c r="K31" s="32"/>
    </row>
    <row r="32" spans="1:11">
      <c r="A32" s="2">
        <v>30</v>
      </c>
      <c r="B32" s="7">
        <v>416</v>
      </c>
      <c r="C32" s="2" t="s">
        <v>13</v>
      </c>
      <c r="D32" s="32"/>
      <c r="E32" s="32"/>
      <c r="F32" s="32"/>
      <c r="G32" s="32">
        <f>231+65+913</f>
        <v>1209</v>
      </c>
      <c r="H32" s="32"/>
      <c r="I32" s="32"/>
      <c r="J32" s="32">
        <f>460+1240</f>
        <v>1700</v>
      </c>
      <c r="K32" s="32"/>
    </row>
    <row r="33" spans="1:11">
      <c r="A33" s="2">
        <v>31</v>
      </c>
      <c r="B33" s="7">
        <v>417</v>
      </c>
      <c r="C33" s="2" t="s">
        <v>8</v>
      </c>
      <c r="D33" s="32"/>
      <c r="E33" s="32"/>
      <c r="F33" s="32"/>
      <c r="G33" s="32">
        <f>66+905</f>
        <v>971</v>
      </c>
      <c r="H33" s="32"/>
      <c r="I33" s="32"/>
      <c r="J33" s="32">
        <f>37+1056</f>
        <v>1093</v>
      </c>
      <c r="K33" s="32"/>
    </row>
    <row r="34" spans="1:11">
      <c r="A34" s="2">
        <v>32</v>
      </c>
      <c r="B34" s="7">
        <v>425</v>
      </c>
      <c r="C34" s="2" t="s">
        <v>15</v>
      </c>
      <c r="D34" s="32"/>
      <c r="E34" s="32"/>
      <c r="F34" s="32"/>
      <c r="G34" s="32">
        <f>482+686+556+6525</f>
        <v>8249</v>
      </c>
      <c r="H34" s="32"/>
      <c r="I34" s="32"/>
      <c r="J34" s="32">
        <f>132+1464+705+8665</f>
        <v>10966</v>
      </c>
      <c r="K34" s="32"/>
    </row>
    <row r="35" spans="1:11">
      <c r="A35" s="2">
        <v>33</v>
      </c>
      <c r="B35" s="7">
        <v>426</v>
      </c>
      <c r="C35" s="2" t="s">
        <v>9</v>
      </c>
      <c r="D35" s="32"/>
      <c r="E35" s="32"/>
      <c r="F35" s="32"/>
      <c r="G35" s="32">
        <f>501+580+11825</f>
        <v>12906</v>
      </c>
      <c r="H35" s="32"/>
      <c r="I35" s="32"/>
      <c r="J35" s="32">
        <f>1588+13820</f>
        <v>15408</v>
      </c>
      <c r="K35" s="32"/>
    </row>
    <row r="36" spans="1:11">
      <c r="A36" s="2">
        <v>34</v>
      </c>
      <c r="B36" s="7">
        <v>435</v>
      </c>
      <c r="C36" s="2" t="s">
        <v>10</v>
      </c>
      <c r="D36" s="32"/>
      <c r="E36" s="32"/>
      <c r="F36" s="32"/>
      <c r="G36" s="32">
        <f>2047+96+2187</f>
        <v>4330</v>
      </c>
      <c r="H36" s="32"/>
      <c r="I36" s="32"/>
      <c r="J36" s="32">
        <f>2278+2192</f>
        <v>4470</v>
      </c>
      <c r="K36" s="32"/>
    </row>
    <row r="37" spans="1:11">
      <c r="A37" s="2">
        <v>35</v>
      </c>
      <c r="B37" s="7">
        <v>436</v>
      </c>
      <c r="C37" s="2" t="s">
        <v>12</v>
      </c>
      <c r="D37" s="32"/>
      <c r="E37" s="32"/>
      <c r="F37" s="32"/>
      <c r="G37" s="32">
        <f>767+147+8563</f>
        <v>9477</v>
      </c>
      <c r="H37" s="32"/>
      <c r="I37" s="32"/>
      <c r="J37" s="32">
        <f>1022+9741</f>
        <v>10763</v>
      </c>
      <c r="K37" s="32"/>
    </row>
    <row r="38" spans="1:11">
      <c r="A38" s="2">
        <v>36</v>
      </c>
      <c r="B38" s="7">
        <v>437</v>
      </c>
      <c r="C38" s="2" t="s">
        <v>14</v>
      </c>
      <c r="D38" s="32"/>
      <c r="E38" s="32"/>
      <c r="F38" s="32"/>
      <c r="G38" s="32">
        <f>271+297+4757</f>
        <v>5325</v>
      </c>
      <c r="H38" s="32"/>
      <c r="I38" s="32"/>
      <c r="J38" s="32">
        <f>751+6469</f>
        <v>7220</v>
      </c>
      <c r="K38" s="32"/>
    </row>
    <row r="39" spans="1:11">
      <c r="A39" s="2">
        <v>37</v>
      </c>
      <c r="B39" s="7">
        <v>999</v>
      </c>
      <c r="C39" s="2" t="s">
        <v>34</v>
      </c>
      <c r="D39" s="10"/>
      <c r="E39" s="10"/>
      <c r="F39" s="10"/>
      <c r="G39" s="10">
        <f>59333+5540+89064</f>
        <v>153937</v>
      </c>
      <c r="H39" s="10"/>
      <c r="I39" s="10"/>
      <c r="J39" s="32">
        <f>71593+107652</f>
        <v>179245</v>
      </c>
      <c r="K39" s="32"/>
    </row>
    <row r="41" spans="1:11">
      <c r="B41" s="11" t="s">
        <v>41</v>
      </c>
      <c r="C41" s="11"/>
      <c r="D41" s="11"/>
      <c r="E41" s="11"/>
      <c r="F41" s="11"/>
      <c r="G41" s="11">
        <v>39463</v>
      </c>
      <c r="H41" s="11"/>
      <c r="I41" s="11"/>
      <c r="J41" s="11">
        <v>40616</v>
      </c>
      <c r="K41" s="1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Titelblatt</vt:lpstr>
      <vt:lpstr>Grafik</vt:lpstr>
      <vt:lpstr>Anlagen</vt:lpstr>
      <vt:lpstr>kW_el</vt:lpstr>
      <vt:lpstr>kW je Anlage</vt:lpstr>
      <vt:lpstr>Mais</vt:lpstr>
      <vt:lpstr>Grafik!Druckbereich</vt:lpstr>
      <vt:lpstr>Titelblatt!Druckbereich</vt:lpstr>
    </vt:vector>
  </TitlesOfParts>
  <Company>LEL Schwäbisch Gmünd, Abt. 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Entwicklung der Biogasanlagen</dc:title>
  <dc:creator>Richard Müller</dc:creator>
  <dc:description>09.02.2012_x000d_
</dc:description>
  <cp:lastModifiedBy>Boga, Arzu (LEL-SG)</cp:lastModifiedBy>
  <cp:lastPrinted>2012-02-09T15:04:28Z</cp:lastPrinted>
  <dcterms:created xsi:type="dcterms:W3CDTF">2010-07-02T07:46:19Z</dcterms:created>
  <dcterms:modified xsi:type="dcterms:W3CDTF">2025-01-16T08:18:26Z</dcterms:modified>
</cp:coreProperties>
</file>