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EXT\60\"/>
    </mc:Choice>
  </mc:AlternateContent>
  <bookViews>
    <workbookView xWindow="0" yWindow="1485" windowWidth="15360" windowHeight="9000" activeTab="1"/>
  </bookViews>
  <sheets>
    <sheet name="Deckblatt" sheetId="60" r:id="rId1"/>
    <sheet name="Strukturdaten" sheetId="122" r:id="rId2"/>
    <sheet name="Jahresvergleich" sheetId="124" r:id="rId3"/>
    <sheet name="2011" sheetId="120" state="hidden" r:id="rId4"/>
    <sheet name="2010" sheetId="125" state="hidden" r:id="rId5"/>
    <sheet name="2009" sheetId="127" state="hidden" r:id="rId6"/>
    <sheet name="2008" sheetId="130" state="hidden" r:id="rId7"/>
    <sheet name="2007" sheetId="131" state="hidden" r:id="rId8"/>
    <sheet name="2001" sheetId="132" state="hidden" r:id="rId9"/>
    <sheet name="Stand der Daten" sheetId="133" state="hidden" r:id="rId10"/>
  </sheets>
  <definedNames>
    <definedName name="Daten" localSheetId="8">'2001'!$B$5:$CL$107</definedName>
    <definedName name="Daten" localSheetId="7">'2007'!$B$5:$CL$107</definedName>
    <definedName name="Daten" localSheetId="6">'2008'!$B$5:$CL$107</definedName>
    <definedName name="Daten" localSheetId="5">'2009'!$B$5:$CL$107</definedName>
    <definedName name="Daten" localSheetId="4">'2011'!$B$5:$CL$106</definedName>
    <definedName name="Daten" localSheetId="9">'Stand der Daten'!$B$5:$B$108</definedName>
    <definedName name="Daten">'2010'!$B$5:$CL$106</definedName>
    <definedName name="Daten2011">'2011'!$B$5:$CL$106</definedName>
    <definedName name="_xlnm.Print_Area" localSheetId="8">'2001'!$B$2:$CL$99</definedName>
    <definedName name="_xlnm.Print_Area" localSheetId="7">'2007'!$B$2:$CL$99</definedName>
    <definedName name="_xlnm.Print_Area" localSheetId="6">'2008'!$B$2:$CL$99</definedName>
    <definedName name="_xlnm.Print_Area" localSheetId="5">'2009'!$B$2:$CL$99</definedName>
    <definedName name="_xlnm.Print_Area" localSheetId="4">'2010'!$B$2:$CL$98</definedName>
    <definedName name="_xlnm.Print_Area" localSheetId="3">'2011'!$B$2:$CL$98</definedName>
    <definedName name="_xlnm.Print_Area" localSheetId="0">Deckblatt!$A$1:$A$37</definedName>
    <definedName name="_xlnm.Print_Area" localSheetId="2">Jahresvergleich!$A$1:$E$97</definedName>
    <definedName name="_xlnm.Print_Area" localSheetId="9">'Stand der Daten'!$B$3:$H$108</definedName>
    <definedName name="_xlnm.Print_Area" localSheetId="1">Strukturdaten!$A$1:$G$98</definedName>
    <definedName name="_xlnm.Print_Titles" localSheetId="8">'2001'!$B:$D,'2001'!$2:$4</definedName>
    <definedName name="_xlnm.Print_Titles" localSheetId="7">'2007'!$B:$D,'2007'!$2:$4</definedName>
    <definedName name="_xlnm.Print_Titles" localSheetId="6">'2008'!$B:$D,'2008'!$2:$4</definedName>
    <definedName name="_xlnm.Print_Titles" localSheetId="5">'2009'!$B:$D,'2009'!$2:$4</definedName>
    <definedName name="_xlnm.Print_Titles" localSheetId="4">'2010'!$B:$D,'2010'!$2:$4</definedName>
    <definedName name="_xlnm.Print_Titles" localSheetId="3">'2011'!$B:$D,'2011'!$2:$4</definedName>
    <definedName name="_xlnm.Print_Titles" localSheetId="2">Jahresvergleich!$1:$2</definedName>
    <definedName name="_xlnm.Print_Titles" localSheetId="9">'Stand der Daten'!$B:$B,'Stand der Daten'!$2:$4</definedName>
    <definedName name="_xlnm.Print_Titles" localSheetId="1">Strukturdaten!$1:$2</definedName>
  </definedNames>
  <calcPr calcId="162913" fullCalcOnLoad="1"/>
</workbook>
</file>

<file path=xl/calcChain.xml><?xml version="1.0" encoding="utf-8"?>
<calcChain xmlns="http://schemas.openxmlformats.org/spreadsheetml/2006/main">
  <c r="AS18" i="132" l="1"/>
  <c r="AR18" i="132"/>
  <c r="AQ18" i="132"/>
  <c r="AP18" i="132"/>
  <c r="AO18" i="132"/>
  <c r="AN18" i="132"/>
  <c r="AM18" i="132"/>
  <c r="AL18" i="132"/>
  <c r="AK18" i="132"/>
  <c r="AJ18" i="132"/>
  <c r="AI18" i="132"/>
  <c r="AH18" i="132"/>
  <c r="AG18" i="132"/>
  <c r="AF18" i="132"/>
  <c r="AE18" i="132"/>
  <c r="AD18" i="132"/>
  <c r="AC18" i="132"/>
  <c r="AB18" i="132"/>
  <c r="AA18" i="132"/>
  <c r="Z18" i="132"/>
  <c r="Y18" i="132"/>
  <c r="X18" i="132"/>
  <c r="W18" i="132"/>
  <c r="V18" i="132"/>
  <c r="U18" i="132"/>
  <c r="T18" i="132"/>
  <c r="S18" i="132"/>
  <c r="R18" i="132"/>
  <c r="Q18" i="132"/>
  <c r="P18" i="132"/>
  <c r="O18" i="132"/>
  <c r="N18" i="132"/>
  <c r="M18" i="132"/>
  <c r="L18" i="132"/>
  <c r="K18" i="132"/>
  <c r="AS19" i="132"/>
  <c r="AR19" i="132"/>
  <c r="AQ19" i="132"/>
  <c r="AP19" i="132"/>
  <c r="AO19" i="132"/>
  <c r="AN19" i="132"/>
  <c r="AM19" i="132"/>
  <c r="AL19" i="132"/>
  <c r="AK19" i="132"/>
  <c r="AJ19" i="132"/>
  <c r="AI19" i="132"/>
  <c r="AH19" i="132"/>
  <c r="AG19" i="132"/>
  <c r="AF19" i="132"/>
  <c r="AE19" i="132"/>
  <c r="AD19" i="132"/>
  <c r="AC19" i="132"/>
  <c r="AB19" i="132"/>
  <c r="AA19" i="132"/>
  <c r="Z19" i="132"/>
  <c r="Y19" i="132"/>
  <c r="X19" i="132"/>
  <c r="W19" i="132"/>
  <c r="V19" i="132"/>
  <c r="U19" i="132"/>
  <c r="T19" i="132"/>
  <c r="S19" i="132"/>
  <c r="R19" i="132"/>
  <c r="Q19" i="132"/>
  <c r="P19" i="132"/>
  <c r="O19" i="132"/>
  <c r="N19" i="132"/>
  <c r="M19" i="132"/>
  <c r="L19" i="132"/>
  <c r="K19" i="132"/>
  <c r="A24" i="132"/>
  <c r="A25" i="132"/>
  <c r="A26" i="132"/>
  <c r="A27" i="132"/>
  <c r="A28" i="132"/>
  <c r="A29" i="132"/>
  <c r="A30" i="132"/>
  <c r="A31" i="132"/>
  <c r="A32" i="132"/>
  <c r="A33" i="132"/>
  <c r="A34" i="132"/>
  <c r="A35" i="132"/>
  <c r="A36" i="132"/>
  <c r="A37" i="132"/>
  <c r="A38" i="132"/>
  <c r="A39" i="132"/>
  <c r="A40" i="132"/>
  <c r="A41" i="132"/>
  <c r="A42" i="132"/>
  <c r="A43" i="132"/>
  <c r="A44" i="132"/>
  <c r="A45" i="132"/>
  <c r="A46" i="132"/>
  <c r="A47" i="132"/>
  <c r="A48" i="132"/>
  <c r="A49" i="132"/>
  <c r="A50" i="132"/>
  <c r="A51" i="132"/>
  <c r="A52" i="132"/>
  <c r="A53" i="132"/>
  <c r="A54" i="132"/>
  <c r="A55" i="132"/>
  <c r="A56" i="132"/>
  <c r="A57" i="132"/>
  <c r="A58" i="132"/>
  <c r="A59" i="132"/>
  <c r="A60" i="132"/>
  <c r="A61" i="132"/>
  <c r="A62" i="132"/>
  <c r="A63" i="132"/>
  <c r="A64" i="132"/>
  <c r="A65" i="132"/>
  <c r="A66" i="132"/>
  <c r="A67" i="132"/>
  <c r="A68" i="132"/>
  <c r="A69" i="132"/>
  <c r="A70" i="132"/>
  <c r="A71" i="132"/>
  <c r="A72" i="132"/>
  <c r="A73" i="132"/>
  <c r="A74" i="132"/>
  <c r="A75" i="132"/>
  <c r="A76" i="132"/>
  <c r="A77" i="132"/>
  <c r="A78" i="132"/>
  <c r="A79" i="132"/>
  <c r="A80" i="132"/>
  <c r="A81" i="132"/>
  <c r="A82" i="132"/>
  <c r="A83" i="132"/>
  <c r="A84" i="132"/>
  <c r="A85" i="132"/>
  <c r="A86" i="132"/>
  <c r="A87" i="132"/>
  <c r="A88" i="132"/>
  <c r="A89" i="132"/>
  <c r="A90" i="132"/>
  <c r="A91" i="132"/>
  <c r="A92" i="132"/>
  <c r="A93" i="132"/>
  <c r="A94" i="132"/>
  <c r="A95" i="132"/>
  <c r="A96" i="132"/>
  <c r="A97" i="132"/>
  <c r="A98" i="132"/>
  <c r="A99" i="132"/>
  <c r="A100" i="132"/>
  <c r="A101" i="132"/>
  <c r="A102" i="132"/>
  <c r="A103" i="132"/>
  <c r="A104" i="132"/>
  <c r="A105" i="132"/>
  <c r="A106" i="132"/>
  <c r="A107" i="132"/>
  <c r="A14" i="132"/>
  <c r="A15" i="132"/>
  <c r="A16" i="132"/>
  <c r="A17" i="132"/>
  <c r="A18" i="132"/>
  <c r="A19" i="132"/>
  <c r="A20" i="132"/>
  <c r="A21" i="132"/>
  <c r="A22" i="132"/>
  <c r="A23" i="132"/>
  <c r="I80" i="132"/>
  <c r="H80" i="132"/>
  <c r="G80" i="132"/>
  <c r="F80" i="132"/>
  <c r="AS67" i="132"/>
  <c r="AR67" i="132"/>
  <c r="AQ67" i="132"/>
  <c r="AP67" i="132"/>
  <c r="AO67" i="132"/>
  <c r="AN67" i="132"/>
  <c r="AM67" i="132"/>
  <c r="AL67" i="132"/>
  <c r="AK67" i="132"/>
  <c r="AJ67" i="132"/>
  <c r="AI67" i="132"/>
  <c r="AH67" i="132"/>
  <c r="AG67" i="132"/>
  <c r="AF67" i="132"/>
  <c r="AE67" i="132"/>
  <c r="AD67" i="132"/>
  <c r="AC67" i="132"/>
  <c r="AB67" i="132"/>
  <c r="AA67" i="132"/>
  <c r="Z67" i="132"/>
  <c r="Y67" i="132"/>
  <c r="X67" i="132"/>
  <c r="W67" i="132"/>
  <c r="V67" i="132"/>
  <c r="U67" i="132"/>
  <c r="T67" i="132"/>
  <c r="S67" i="132"/>
  <c r="R67" i="132"/>
  <c r="Q67" i="132"/>
  <c r="P67" i="132"/>
  <c r="O67" i="132"/>
  <c r="N67" i="132"/>
  <c r="M67" i="132"/>
  <c r="L67" i="132"/>
  <c r="K67" i="132"/>
  <c r="AS66" i="132"/>
  <c r="AR66" i="132"/>
  <c r="AQ66" i="132"/>
  <c r="AP66" i="132"/>
  <c r="AO66" i="132"/>
  <c r="AN66" i="132"/>
  <c r="AM66" i="132"/>
  <c r="AL66" i="132"/>
  <c r="AK66" i="132"/>
  <c r="AJ66" i="132"/>
  <c r="AI66" i="132"/>
  <c r="AH66" i="132"/>
  <c r="AG66" i="132"/>
  <c r="AF66" i="132"/>
  <c r="AE66" i="132"/>
  <c r="AD66" i="132"/>
  <c r="AC66" i="132"/>
  <c r="AB66" i="132"/>
  <c r="AA66" i="132"/>
  <c r="Z66" i="132"/>
  <c r="Y66" i="132"/>
  <c r="X66" i="132"/>
  <c r="W66" i="132"/>
  <c r="V66" i="132"/>
  <c r="U66" i="132"/>
  <c r="T66" i="132"/>
  <c r="S66" i="132"/>
  <c r="R66" i="132"/>
  <c r="Q66" i="132"/>
  <c r="P66" i="132"/>
  <c r="O66" i="132"/>
  <c r="N66" i="132"/>
  <c r="M66" i="132"/>
  <c r="L66" i="132"/>
  <c r="K66" i="132"/>
  <c r="B31" i="132"/>
  <c r="Y87" i="132"/>
  <c r="AS87" i="132"/>
  <c r="I52" i="132"/>
  <c r="I53" i="132"/>
  <c r="H52" i="132"/>
  <c r="H53" i="132"/>
  <c r="G52" i="132"/>
  <c r="G53" i="132"/>
  <c r="F52" i="132"/>
  <c r="F53" i="132"/>
  <c r="P49" i="132"/>
  <c r="I127" i="132"/>
  <c r="H127" i="132"/>
  <c r="G127" i="132"/>
  <c r="F127" i="132"/>
  <c r="CL127" i="132"/>
  <c r="CK127" i="132"/>
  <c r="CJ127" i="132"/>
  <c r="CI127" i="132"/>
  <c r="CH127" i="132"/>
  <c r="CG127" i="132"/>
  <c r="CF127" i="132"/>
  <c r="CE127" i="132"/>
  <c r="CD127" i="132"/>
  <c r="CC127" i="132"/>
  <c r="CB127" i="132"/>
  <c r="CA127" i="132"/>
  <c r="BZ127" i="132"/>
  <c r="BY127" i="132"/>
  <c r="BX127" i="132"/>
  <c r="BW127" i="132"/>
  <c r="BV127" i="132"/>
  <c r="BU127" i="132"/>
  <c r="BT127" i="132"/>
  <c r="BS127" i="132"/>
  <c r="BR127" i="132"/>
  <c r="BQ127" i="132"/>
  <c r="BP127" i="132"/>
  <c r="BO127" i="132"/>
  <c r="BN127" i="132"/>
  <c r="BM127" i="132"/>
  <c r="BL127" i="132"/>
  <c r="BK127" i="132"/>
  <c r="BJ127" i="132"/>
  <c r="BI127" i="132"/>
  <c r="BH127" i="132"/>
  <c r="BG127" i="132"/>
  <c r="BF127" i="132"/>
  <c r="BE127" i="132"/>
  <c r="BD127" i="132"/>
  <c r="BC127" i="132"/>
  <c r="BB127" i="132"/>
  <c r="BA127" i="132"/>
  <c r="AZ127" i="132"/>
  <c r="AY127" i="132"/>
  <c r="AX127" i="132"/>
  <c r="AW127" i="132"/>
  <c r="AV127" i="132"/>
  <c r="AU127" i="132"/>
  <c r="AT127" i="132"/>
  <c r="CL24" i="132"/>
  <c r="CL31" i="132"/>
  <c r="CK24" i="132"/>
  <c r="CK31" i="132"/>
  <c r="CJ24" i="132"/>
  <c r="CJ31" i="132"/>
  <c r="CI24" i="132"/>
  <c r="CI31" i="132"/>
  <c r="CH24" i="132"/>
  <c r="CH31" i="132"/>
  <c r="CG24" i="132"/>
  <c r="CG31" i="132"/>
  <c r="CF31" i="132"/>
  <c r="CE24" i="132"/>
  <c r="CE31" i="132"/>
  <c r="CD24" i="132"/>
  <c r="CD31" i="132"/>
  <c r="CC24" i="132"/>
  <c r="CC31" i="132"/>
  <c r="CB24" i="132"/>
  <c r="CB31" i="132"/>
  <c r="CA24" i="132"/>
  <c r="CA31" i="132"/>
  <c r="BZ24" i="132"/>
  <c r="BZ31" i="132"/>
  <c r="BY24" i="132"/>
  <c r="BY31" i="132"/>
  <c r="BX24" i="132"/>
  <c r="BX31" i="132"/>
  <c r="BW24" i="132"/>
  <c r="BW31" i="132"/>
  <c r="BV24" i="132"/>
  <c r="BV31" i="132"/>
  <c r="BU24" i="132"/>
  <c r="BU31" i="132"/>
  <c r="BT24" i="132"/>
  <c r="BT31" i="132"/>
  <c r="BS24" i="132"/>
  <c r="BS31" i="132"/>
  <c r="BR24" i="132"/>
  <c r="BR31" i="132"/>
  <c r="BQ24" i="132"/>
  <c r="BQ31" i="132"/>
  <c r="BP24" i="132"/>
  <c r="BP31" i="132"/>
  <c r="BO31" i="132"/>
  <c r="BN24" i="132"/>
  <c r="BN31" i="132"/>
  <c r="BM24" i="132"/>
  <c r="BM31" i="132"/>
  <c r="BL31" i="132"/>
  <c r="BK31" i="132"/>
  <c r="BJ24" i="132"/>
  <c r="BJ31" i="132"/>
  <c r="BI24" i="132"/>
  <c r="BI31" i="132"/>
  <c r="BH31" i="132"/>
  <c r="BG31" i="132"/>
  <c r="BF24" i="132"/>
  <c r="BF31" i="132"/>
  <c r="BE31" i="132"/>
  <c r="BD24" i="132"/>
  <c r="BD31" i="132"/>
  <c r="BC24" i="132"/>
  <c r="BC31" i="132"/>
  <c r="BB24" i="132"/>
  <c r="BB31" i="132"/>
  <c r="BA24" i="132"/>
  <c r="BA31" i="132"/>
  <c r="AZ24" i="132"/>
  <c r="AZ31" i="132"/>
  <c r="AY24" i="132"/>
  <c r="AY31" i="132"/>
  <c r="AX24" i="132"/>
  <c r="AX31" i="132"/>
  <c r="AW24" i="132"/>
  <c r="AW31" i="132"/>
  <c r="AV24" i="132"/>
  <c r="AV31" i="132"/>
  <c r="AU24" i="132"/>
  <c r="AU31" i="132"/>
  <c r="AT24" i="132"/>
  <c r="AT31" i="132"/>
  <c r="AS127" i="132"/>
  <c r="AS31" i="132" s="1"/>
  <c r="AS23" i="132"/>
  <c r="AS24" i="132"/>
  <c r="AR127" i="132"/>
  <c r="AR23" i="132"/>
  <c r="AR24" i="132"/>
  <c r="AR31" i="132"/>
  <c r="AQ127" i="132"/>
  <c r="AQ23" i="132"/>
  <c r="AQ24" i="132"/>
  <c r="AQ31" i="132"/>
  <c r="AP127" i="132"/>
  <c r="AP23" i="132"/>
  <c r="AP24" i="132"/>
  <c r="AP31" i="132"/>
  <c r="AO127" i="132"/>
  <c r="AO23" i="132"/>
  <c r="AO24" i="132"/>
  <c r="AO31" i="132" s="1"/>
  <c r="AN127" i="132"/>
  <c r="AN23" i="132"/>
  <c r="AN24" i="132"/>
  <c r="AN31" i="132" s="1"/>
  <c r="AM127" i="132"/>
  <c r="AM23" i="132"/>
  <c r="AM24" i="132"/>
  <c r="AM31" i="132"/>
  <c r="AL127" i="132"/>
  <c r="AL23" i="132"/>
  <c r="AL24" i="132"/>
  <c r="AL31" i="132"/>
  <c r="AK127" i="132"/>
  <c r="AK23" i="132"/>
  <c r="AK24" i="132"/>
  <c r="AK31" i="132"/>
  <c r="AJ127" i="132"/>
  <c r="AJ23" i="132"/>
  <c r="AJ24" i="132"/>
  <c r="AJ31" i="132" s="1"/>
  <c r="AI127" i="132"/>
  <c r="AI23" i="132"/>
  <c r="AI24" i="132"/>
  <c r="AI31" i="132" s="1"/>
  <c r="AH127" i="132"/>
  <c r="AH23" i="132"/>
  <c r="AH24" i="132"/>
  <c r="AH31" i="132"/>
  <c r="AG127" i="132"/>
  <c r="AG23" i="132"/>
  <c r="AG24" i="132"/>
  <c r="AG31" i="132"/>
  <c r="AF127" i="132"/>
  <c r="AF23" i="132"/>
  <c r="AF24" i="132"/>
  <c r="AF31" i="132"/>
  <c r="AE127" i="132"/>
  <c r="AE23" i="132"/>
  <c r="AE24" i="132"/>
  <c r="AE31" i="132" s="1"/>
  <c r="AD127" i="132"/>
  <c r="AD31" i="132" s="1"/>
  <c r="AD23" i="132"/>
  <c r="AD24" i="132"/>
  <c r="AC127" i="132"/>
  <c r="AC23" i="132"/>
  <c r="AC24" i="132"/>
  <c r="AC31" i="132"/>
  <c r="AB127" i="132"/>
  <c r="AB23" i="132"/>
  <c r="AB24" i="132"/>
  <c r="AB31" i="132"/>
  <c r="AA127" i="132"/>
  <c r="AA23" i="132"/>
  <c r="AA24" i="132"/>
  <c r="AA31" i="132"/>
  <c r="Z127" i="132"/>
  <c r="Z23" i="132"/>
  <c r="Z24" i="132"/>
  <c r="Z31" i="132"/>
  <c r="Y127" i="132"/>
  <c r="Y31" i="132" s="1"/>
  <c r="Y23" i="132"/>
  <c r="Y24" i="132"/>
  <c r="X127" i="132"/>
  <c r="X23" i="132"/>
  <c r="X24" i="132"/>
  <c r="X31" i="132"/>
  <c r="W127" i="132"/>
  <c r="W23" i="132"/>
  <c r="W24" i="132"/>
  <c r="W31" i="132"/>
  <c r="V127" i="132"/>
  <c r="V23" i="132"/>
  <c r="V24" i="132"/>
  <c r="V31" i="132"/>
  <c r="U127" i="132"/>
  <c r="U23" i="132"/>
  <c r="U24" i="132"/>
  <c r="U31" i="132"/>
  <c r="T127" i="132"/>
  <c r="T23" i="132"/>
  <c r="T24" i="132"/>
  <c r="T31" i="132"/>
  <c r="S127" i="132"/>
  <c r="S23" i="132"/>
  <c r="S24" i="132"/>
  <c r="S31" i="132"/>
  <c r="R127" i="132"/>
  <c r="R23" i="132"/>
  <c r="R24" i="132"/>
  <c r="R31" i="132"/>
  <c r="Q127" i="132"/>
  <c r="Q23" i="132"/>
  <c r="Q24" i="132"/>
  <c r="Q31" i="132"/>
  <c r="P127" i="132"/>
  <c r="P23" i="132"/>
  <c r="P24" i="132"/>
  <c r="P31" i="132"/>
  <c r="O127" i="132"/>
  <c r="O23" i="132"/>
  <c r="O24" i="132"/>
  <c r="O31" i="132"/>
  <c r="N127" i="132"/>
  <c r="N23" i="132"/>
  <c r="N24" i="132"/>
  <c r="N31" i="132"/>
  <c r="M127" i="132"/>
  <c r="M23" i="132"/>
  <c r="M24" i="132"/>
  <c r="M31" i="132"/>
  <c r="L127" i="132"/>
  <c r="L31" i="132" s="1"/>
  <c r="L23" i="132"/>
  <c r="L24" i="132"/>
  <c r="K127" i="132"/>
  <c r="K23" i="132"/>
  <c r="K24" i="132"/>
  <c r="K31" i="132"/>
  <c r="I24" i="132"/>
  <c r="I31" i="132"/>
  <c r="H24" i="132"/>
  <c r="H31" i="132"/>
  <c r="G24" i="132"/>
  <c r="G31" i="132"/>
  <c r="F24" i="132"/>
  <c r="F31" i="132"/>
  <c r="AS69" i="132"/>
  <c r="AA77" i="132"/>
  <c r="V77" i="132"/>
  <c r="Y70" i="132"/>
  <c r="I70" i="132"/>
  <c r="H70" i="132"/>
  <c r="H69" i="132"/>
  <c r="F70" i="132"/>
  <c r="F69" i="132"/>
  <c r="X39" i="132"/>
  <c r="X38" i="132"/>
  <c r="CL27" i="132"/>
  <c r="CL26" i="132"/>
  <c r="CK27" i="132"/>
  <c r="CK26" i="132"/>
  <c r="CJ27" i="132"/>
  <c r="CJ26" i="132"/>
  <c r="CI27" i="132"/>
  <c r="CI26" i="132"/>
  <c r="CH27" i="132"/>
  <c r="CH26" i="132"/>
  <c r="CG27" i="132"/>
  <c r="CG26" i="132"/>
  <c r="CE27" i="132"/>
  <c r="CE26" i="132"/>
  <c r="CD27" i="132"/>
  <c r="CD26" i="132"/>
  <c r="CC27" i="132"/>
  <c r="CC26" i="132"/>
  <c r="CB27" i="132"/>
  <c r="CB26" i="132"/>
  <c r="CA27" i="132"/>
  <c r="CA26" i="132"/>
  <c r="BZ27" i="132"/>
  <c r="BZ26" i="132"/>
  <c r="BY27" i="132"/>
  <c r="BY26" i="132"/>
  <c r="BY25" i="132"/>
  <c r="BX27" i="132"/>
  <c r="BX26" i="132"/>
  <c r="BW27" i="132"/>
  <c r="BW26" i="132"/>
  <c r="BV27" i="132"/>
  <c r="BV26" i="132"/>
  <c r="BU27" i="132"/>
  <c r="BU26" i="132"/>
  <c r="BT27" i="132"/>
  <c r="BT26" i="132"/>
  <c r="BT25" i="132"/>
  <c r="BS27" i="132"/>
  <c r="BS26" i="132"/>
  <c r="BR27" i="132"/>
  <c r="BR26" i="132"/>
  <c r="BQ27" i="132"/>
  <c r="BP27" i="132"/>
  <c r="BP26" i="132"/>
  <c r="BN27" i="132"/>
  <c r="BN26" i="132"/>
  <c r="BM27" i="132"/>
  <c r="BM26" i="132"/>
  <c r="BJ27" i="132"/>
  <c r="BJ26" i="132"/>
  <c r="BJ25" i="132"/>
  <c r="BI27" i="132"/>
  <c r="BI26" i="132"/>
  <c r="BF27" i="132"/>
  <c r="BF26" i="132"/>
  <c r="BE27" i="132"/>
  <c r="BD27" i="132"/>
  <c r="BD26" i="132"/>
  <c r="BC27" i="132"/>
  <c r="BC26" i="132"/>
  <c r="BB27" i="132"/>
  <c r="BB26" i="132"/>
  <c r="BA27" i="132"/>
  <c r="BA26" i="132"/>
  <c r="BA25" i="132"/>
  <c r="AY27" i="132"/>
  <c r="AY26" i="132"/>
  <c r="AX27" i="132"/>
  <c r="AX26" i="132"/>
  <c r="AW27" i="132"/>
  <c r="AW26" i="132"/>
  <c r="AV27" i="132"/>
  <c r="AV26" i="132"/>
  <c r="AU27" i="132"/>
  <c r="AU26" i="132"/>
  <c r="CL70" i="132"/>
  <c r="CL69" i="132"/>
  <c r="BT52" i="132"/>
  <c r="AE52" i="132"/>
  <c r="Y43" i="132"/>
  <c r="Y42" i="132"/>
  <c r="R77" i="132"/>
  <c r="R35" i="132"/>
  <c r="R50" i="132"/>
  <c r="R48" i="132"/>
  <c r="R42" i="132"/>
  <c r="R44" i="132"/>
  <c r="R43" i="132"/>
  <c r="R41" i="132"/>
  <c r="Y46" i="132"/>
  <c r="CL125" i="132"/>
  <c r="CL47" i="132"/>
  <c r="CK125" i="132"/>
  <c r="CK47" i="132"/>
  <c r="CJ125" i="132"/>
  <c r="CJ47" i="132"/>
  <c r="CI125" i="132"/>
  <c r="CI47" i="132"/>
  <c r="CH125" i="132"/>
  <c r="CH47" i="132"/>
  <c r="CG125" i="132"/>
  <c r="CG47" i="132"/>
  <c r="CF125" i="132"/>
  <c r="CF47" i="132"/>
  <c r="CE125" i="132"/>
  <c r="CE47" i="132"/>
  <c r="CD125" i="132"/>
  <c r="CD47" i="132"/>
  <c r="AP47" i="132" s="1"/>
  <c r="CC125" i="132"/>
  <c r="CC47" i="132"/>
  <c r="CB125" i="132"/>
  <c r="CB47" i="132"/>
  <c r="CA125" i="132"/>
  <c r="CA47" i="132"/>
  <c r="BZ125" i="132"/>
  <c r="BZ47" i="132"/>
  <c r="BY125" i="132"/>
  <c r="BY47" i="132"/>
  <c r="BX125" i="132"/>
  <c r="BX47" i="132"/>
  <c r="BW125" i="132"/>
  <c r="BW47" i="132"/>
  <c r="BV125" i="132"/>
  <c r="BV47" i="132"/>
  <c r="BU125" i="132"/>
  <c r="BU47" i="132"/>
  <c r="BT125" i="132"/>
  <c r="BT47" i="132"/>
  <c r="BS47" i="132"/>
  <c r="BR125" i="132"/>
  <c r="BR47" i="132"/>
  <c r="BQ125" i="132"/>
  <c r="BQ47" i="132"/>
  <c r="BP125" i="132"/>
  <c r="BP47" i="132"/>
  <c r="BN125" i="132"/>
  <c r="BN47" i="132"/>
  <c r="BM125" i="132"/>
  <c r="BM47" i="132"/>
  <c r="BL47" i="132"/>
  <c r="BK47" i="132"/>
  <c r="BJ47" i="132"/>
  <c r="BI125" i="132"/>
  <c r="BI47" i="132"/>
  <c r="BH47" i="132"/>
  <c r="BF125" i="132"/>
  <c r="BF47" i="132"/>
  <c r="BE125" i="132"/>
  <c r="BE47" i="132"/>
  <c r="BD125" i="132"/>
  <c r="BD47" i="132"/>
  <c r="BC125" i="132"/>
  <c r="BC47" i="132"/>
  <c r="BB125" i="132"/>
  <c r="BB47" i="132"/>
  <c r="BA47" i="132"/>
  <c r="AZ47" i="132"/>
  <c r="AY125" i="132"/>
  <c r="AY47" i="132"/>
  <c r="AX125" i="132"/>
  <c r="AX47" i="132"/>
  <c r="AW125" i="132"/>
  <c r="AW47" i="132"/>
  <c r="N47" i="132" s="1"/>
  <c r="AV125" i="132"/>
  <c r="AV47" i="132"/>
  <c r="AU125" i="132"/>
  <c r="AU47" i="132"/>
  <c r="AT47" i="132"/>
  <c r="I125" i="132"/>
  <c r="I47" i="132"/>
  <c r="H125" i="132"/>
  <c r="H47" i="132"/>
  <c r="G125" i="132"/>
  <c r="G47" i="132"/>
  <c r="F125" i="132"/>
  <c r="F47" i="132"/>
  <c r="I78" i="132"/>
  <c r="H78" i="132"/>
  <c r="CL78" i="132"/>
  <c r="CB78" i="132"/>
  <c r="CA78" i="132"/>
  <c r="BW78" i="132"/>
  <c r="BV78" i="132"/>
  <c r="AS27" i="132"/>
  <c r="AR27" i="132"/>
  <c r="AQ27" i="132"/>
  <c r="AP27" i="132"/>
  <c r="AO27" i="132"/>
  <c r="AN27" i="132"/>
  <c r="AM27" i="132"/>
  <c r="AL27" i="132"/>
  <c r="AK27" i="132"/>
  <c r="AJ27" i="132"/>
  <c r="AI27" i="132"/>
  <c r="AH27" i="132"/>
  <c r="AG27" i="132"/>
  <c r="AF27" i="132"/>
  <c r="AE27" i="132"/>
  <c r="AD27" i="132"/>
  <c r="AC27" i="132"/>
  <c r="AB27" i="132"/>
  <c r="AA27" i="132"/>
  <c r="Z27" i="132"/>
  <c r="Y27" i="132"/>
  <c r="X27" i="132"/>
  <c r="W27" i="132"/>
  <c r="V27" i="132"/>
  <c r="U27" i="132"/>
  <c r="T27" i="132"/>
  <c r="S27" i="132"/>
  <c r="R27" i="132"/>
  <c r="Q27" i="132"/>
  <c r="P27" i="132"/>
  <c r="O27" i="132"/>
  <c r="N27" i="132"/>
  <c r="M27" i="132"/>
  <c r="L27" i="132"/>
  <c r="K27" i="132"/>
  <c r="P20" i="132"/>
  <c r="P118" i="132"/>
  <c r="P16" i="132"/>
  <c r="BA8" i="132"/>
  <c r="P8" i="132"/>
  <c r="BA9" i="132"/>
  <c r="P9" i="132"/>
  <c r="BA10" i="132"/>
  <c r="P10" i="132"/>
  <c r="BA11" i="132"/>
  <c r="P11" i="132"/>
  <c r="BA12" i="132"/>
  <c r="P12" i="132"/>
  <c r="P13" i="132"/>
  <c r="BA7" i="132"/>
  <c r="P7" i="132"/>
  <c r="CG12" i="132"/>
  <c r="CG11" i="132"/>
  <c r="CG9" i="132"/>
  <c r="CG8" i="132"/>
  <c r="CG7" i="132"/>
  <c r="BT12" i="132"/>
  <c r="BT11" i="132"/>
  <c r="BT8" i="132"/>
  <c r="BT7" i="132"/>
  <c r="BQ12" i="132"/>
  <c r="BQ11" i="132"/>
  <c r="BQ10" i="132"/>
  <c r="BQ9" i="132"/>
  <c r="BQ7" i="132"/>
  <c r="BI12" i="132"/>
  <c r="BI11" i="132"/>
  <c r="BI9" i="132"/>
  <c r="BJ12" i="132"/>
  <c r="BJ11" i="132"/>
  <c r="BJ10" i="132"/>
  <c r="BJ9" i="132"/>
  <c r="BJ8" i="132"/>
  <c r="CK12" i="132"/>
  <c r="CK11" i="132"/>
  <c r="CJ12" i="132"/>
  <c r="CJ11" i="132"/>
  <c r="CI12" i="132"/>
  <c r="CI11" i="132"/>
  <c r="CI10" i="132"/>
  <c r="CI9" i="132"/>
  <c r="CI8" i="132"/>
  <c r="CI7" i="132"/>
  <c r="CH12" i="132"/>
  <c r="CH11" i="132"/>
  <c r="CH10" i="132"/>
  <c r="CH9" i="132"/>
  <c r="CH8" i="132"/>
  <c r="CH7" i="132"/>
  <c r="CE12" i="132"/>
  <c r="CE11" i="132"/>
  <c r="CE10" i="132"/>
  <c r="CE8" i="132"/>
  <c r="CE7" i="132"/>
  <c r="CD12" i="132"/>
  <c r="CD11" i="132"/>
  <c r="CD10" i="132"/>
  <c r="CD8" i="132"/>
  <c r="CD7" i="132"/>
  <c r="CC12" i="132"/>
  <c r="CC11" i="132"/>
  <c r="CB12" i="132"/>
  <c r="CB11" i="132"/>
  <c r="CB10" i="132"/>
  <c r="CB9" i="132"/>
  <c r="CB7" i="132"/>
  <c r="CA12" i="132"/>
  <c r="CA11" i="132"/>
  <c r="CA9" i="132"/>
  <c r="CA7" i="132"/>
  <c r="BZ12" i="132"/>
  <c r="BZ11" i="132"/>
  <c r="BZ10" i="132"/>
  <c r="BZ9" i="132"/>
  <c r="BZ8" i="132"/>
  <c r="BX12" i="132"/>
  <c r="BX11" i="132"/>
  <c r="BX9" i="132"/>
  <c r="BX7" i="132"/>
  <c r="BW12" i="132"/>
  <c r="BW11" i="132"/>
  <c r="BW10" i="132"/>
  <c r="BW8" i="132"/>
  <c r="BW7" i="132"/>
  <c r="BV12" i="132"/>
  <c r="BV11" i="132"/>
  <c r="BU12" i="132"/>
  <c r="BU11" i="132"/>
  <c r="BU10" i="132"/>
  <c r="BU9" i="132"/>
  <c r="BR12" i="132"/>
  <c r="BR11" i="132"/>
  <c r="BR9" i="132"/>
  <c r="BR7" i="132"/>
  <c r="BP12" i="132"/>
  <c r="BP11" i="132"/>
  <c r="BP10" i="132"/>
  <c r="BP9" i="132"/>
  <c r="BP8" i="132"/>
  <c r="BP7" i="132"/>
  <c r="BN12" i="132"/>
  <c r="BN11" i="132"/>
  <c r="BM12" i="132"/>
  <c r="BM11" i="132"/>
  <c r="BM10" i="132"/>
  <c r="BM7" i="132"/>
  <c r="BF12" i="132"/>
  <c r="BF11" i="132"/>
  <c r="BF9" i="132"/>
  <c r="BF7" i="132"/>
  <c r="BD12" i="132"/>
  <c r="BD11" i="132"/>
  <c r="BD10" i="132"/>
  <c r="BD9" i="132"/>
  <c r="BD8" i="132"/>
  <c r="BD7" i="132"/>
  <c r="BC12" i="132"/>
  <c r="BC11" i="132"/>
  <c r="BC10" i="132"/>
  <c r="BC9" i="132"/>
  <c r="BC8" i="132"/>
  <c r="BC7" i="132"/>
  <c r="BB12" i="132"/>
  <c r="BB11" i="132"/>
  <c r="BB10" i="132"/>
  <c r="BB9" i="132"/>
  <c r="BB8" i="132"/>
  <c r="BA14" i="132"/>
  <c r="AY12" i="132"/>
  <c r="AY11" i="132"/>
  <c r="AY10" i="132"/>
  <c r="AY7" i="132"/>
  <c r="AX12" i="132"/>
  <c r="AX11" i="132"/>
  <c r="AW12" i="132"/>
  <c r="AW11" i="132"/>
  <c r="AW10" i="132"/>
  <c r="AW7" i="132"/>
  <c r="AV12" i="132"/>
  <c r="AV11" i="132"/>
  <c r="AU12" i="132"/>
  <c r="AU11" i="132"/>
  <c r="AU10" i="132"/>
  <c r="AU9" i="132"/>
  <c r="I28" i="132"/>
  <c r="I27" i="132"/>
  <c r="I26" i="132"/>
  <c r="H28" i="132"/>
  <c r="H27" i="132"/>
  <c r="H26" i="132"/>
  <c r="G28" i="132"/>
  <c r="G27" i="132"/>
  <c r="G26" i="132"/>
  <c r="F28" i="132"/>
  <c r="F27" i="132"/>
  <c r="F26" i="132"/>
  <c r="I17" i="132"/>
  <c r="H17" i="132"/>
  <c r="G17" i="132"/>
  <c r="CK54" i="132"/>
  <c r="CJ54" i="132"/>
  <c r="CI54" i="132"/>
  <c r="CH54" i="132"/>
  <c r="CG54" i="132"/>
  <c r="CF54" i="132"/>
  <c r="CE54" i="132"/>
  <c r="CD54" i="132"/>
  <c r="CC54" i="132"/>
  <c r="CB54" i="132"/>
  <c r="CA54" i="132"/>
  <c r="BZ54" i="132"/>
  <c r="BY54" i="132"/>
  <c r="BX54" i="132"/>
  <c r="BW54" i="132"/>
  <c r="BV54" i="132"/>
  <c r="BU54" i="132"/>
  <c r="BT54" i="132"/>
  <c r="BR54" i="132"/>
  <c r="BQ54" i="132"/>
  <c r="BP54" i="132"/>
  <c r="BO54" i="132"/>
  <c r="BN54" i="132"/>
  <c r="BM54" i="132"/>
  <c r="BL54" i="132"/>
  <c r="BK54" i="132"/>
  <c r="BJ54" i="132"/>
  <c r="BI54" i="132"/>
  <c r="BH54" i="132"/>
  <c r="BF54" i="132"/>
  <c r="BE54" i="132"/>
  <c r="BD54" i="132"/>
  <c r="BC54" i="132"/>
  <c r="BB54" i="132"/>
  <c r="BA54" i="132"/>
  <c r="AZ54" i="132"/>
  <c r="AY54" i="132"/>
  <c r="AX54" i="132"/>
  <c r="AW54" i="132"/>
  <c r="AV54" i="132"/>
  <c r="CK52" i="132"/>
  <c r="CK53" i="132"/>
  <c r="CJ52" i="132"/>
  <c r="CJ53" i="132"/>
  <c r="CI52" i="132"/>
  <c r="CI53" i="132"/>
  <c r="CH52" i="132"/>
  <c r="CH53" i="132"/>
  <c r="CG52" i="132"/>
  <c r="CG53" i="132"/>
  <c r="CF52" i="132"/>
  <c r="CF53" i="132"/>
  <c r="CE52" i="132"/>
  <c r="CE53" i="132"/>
  <c r="CD52" i="132"/>
  <c r="CD53" i="132"/>
  <c r="AP53" i="132" s="1"/>
  <c r="CC52" i="132"/>
  <c r="CC53" i="132"/>
  <c r="CB52" i="132"/>
  <c r="CB53" i="132"/>
  <c r="CA52" i="132"/>
  <c r="CA53" i="132"/>
  <c r="BZ52" i="132"/>
  <c r="BZ53" i="132"/>
  <c r="BY52" i="132"/>
  <c r="BY53" i="132"/>
  <c r="BX52" i="132"/>
  <c r="BX53" i="132"/>
  <c r="BW52" i="132"/>
  <c r="BW53" i="132"/>
  <c r="BV52" i="132"/>
  <c r="BV53" i="132"/>
  <c r="BU52" i="132"/>
  <c r="BU53" i="132"/>
  <c r="BT53" i="132"/>
  <c r="BS52" i="132"/>
  <c r="BR52" i="132"/>
  <c r="BR53" i="132"/>
  <c r="BQ52" i="132"/>
  <c r="BQ53" i="132"/>
  <c r="BP52" i="132"/>
  <c r="BP53" i="132"/>
  <c r="BO52" i="132"/>
  <c r="BO53" i="132"/>
  <c r="BN52" i="132"/>
  <c r="BN53" i="132"/>
  <c r="BM52" i="132"/>
  <c r="BM53" i="132"/>
  <c r="BL52" i="132"/>
  <c r="BL53" i="132"/>
  <c r="BK52" i="132"/>
  <c r="BK53" i="132"/>
  <c r="BJ52" i="132"/>
  <c r="BJ53" i="132"/>
  <c r="BI52" i="132"/>
  <c r="BI53" i="132"/>
  <c r="BH52" i="132"/>
  <c r="BH53" i="132"/>
  <c r="BG53" i="132"/>
  <c r="BF52" i="132"/>
  <c r="BF53" i="132"/>
  <c r="BE52" i="132"/>
  <c r="BE53" i="132"/>
  <c r="BD52" i="132"/>
  <c r="BD53" i="132"/>
  <c r="BC52" i="132"/>
  <c r="BC53" i="132"/>
  <c r="BB52" i="132"/>
  <c r="BB53" i="132"/>
  <c r="BA52" i="132"/>
  <c r="BA53" i="132"/>
  <c r="AZ52" i="132"/>
  <c r="AZ53" i="132"/>
  <c r="AY52" i="132"/>
  <c r="AY53" i="132"/>
  <c r="AX52" i="132"/>
  <c r="AX53" i="132"/>
  <c r="AW52" i="132"/>
  <c r="AW53" i="132"/>
  <c r="AV52" i="132"/>
  <c r="AV53" i="132"/>
  <c r="AT54" i="132"/>
  <c r="AT52" i="132"/>
  <c r="AT53" i="132"/>
  <c r="AT51" i="132"/>
  <c r="AU54" i="132"/>
  <c r="AU52" i="132"/>
  <c r="AU53" i="132"/>
  <c r="AS52" i="132"/>
  <c r="AR52" i="132"/>
  <c r="AQ52" i="132"/>
  <c r="AP52" i="132"/>
  <c r="AO52" i="132"/>
  <c r="AN52" i="132"/>
  <c r="AM52" i="132"/>
  <c r="AL52" i="132"/>
  <c r="AK52" i="132"/>
  <c r="AJ52" i="132"/>
  <c r="AI52" i="132"/>
  <c r="AH52" i="132"/>
  <c r="AG52" i="132"/>
  <c r="AF52" i="132"/>
  <c r="AD52" i="132"/>
  <c r="AC52" i="132"/>
  <c r="AB52" i="132"/>
  <c r="AA52" i="132"/>
  <c r="AA53" i="132" s="1"/>
  <c r="Z52" i="132"/>
  <c r="Y52" i="132"/>
  <c r="X52" i="132"/>
  <c r="W52" i="132"/>
  <c r="V52" i="132"/>
  <c r="U52" i="132"/>
  <c r="T52" i="132"/>
  <c r="S52" i="132"/>
  <c r="R52" i="132"/>
  <c r="P52" i="132"/>
  <c r="O52" i="132"/>
  <c r="N52" i="132"/>
  <c r="M52" i="132"/>
  <c r="L52" i="132"/>
  <c r="K52" i="132"/>
  <c r="C97" i="132"/>
  <c r="C101" i="132"/>
  <c r="AR87" i="132"/>
  <c r="AQ87" i="132"/>
  <c r="AP87" i="132"/>
  <c r="AO87" i="132"/>
  <c r="AN87" i="132"/>
  <c r="AM87" i="132"/>
  <c r="AL87" i="132"/>
  <c r="AK87" i="132"/>
  <c r="AJ87" i="132"/>
  <c r="AI87" i="132"/>
  <c r="AH87" i="132"/>
  <c r="AG87" i="132"/>
  <c r="AF87" i="132"/>
  <c r="AE87" i="132"/>
  <c r="AD87" i="132"/>
  <c r="AC87" i="132"/>
  <c r="AB87" i="132"/>
  <c r="AA87" i="132"/>
  <c r="Z87" i="132"/>
  <c r="X87" i="132"/>
  <c r="W87" i="132"/>
  <c r="V87" i="132"/>
  <c r="U87" i="132"/>
  <c r="T87" i="132"/>
  <c r="S87" i="132"/>
  <c r="R87" i="132"/>
  <c r="Q87" i="132"/>
  <c r="P87" i="132"/>
  <c r="O87" i="132"/>
  <c r="N87" i="132"/>
  <c r="M87" i="132"/>
  <c r="L87" i="132"/>
  <c r="K87" i="132"/>
  <c r="AS95" i="132"/>
  <c r="AS96" i="132"/>
  <c r="AS98" i="132"/>
  <c r="AS99" i="132"/>
  <c r="AS97" i="132"/>
  <c r="AS70" i="132"/>
  <c r="AS49" i="132"/>
  <c r="AS42" i="132"/>
  <c r="AS44" i="132"/>
  <c r="AS43" i="132"/>
  <c r="CC51" i="132"/>
  <c r="CD51" i="132"/>
  <c r="CE51" i="132"/>
  <c r="CG51" i="132"/>
  <c r="CH51" i="132"/>
  <c r="CI51" i="132"/>
  <c r="CJ51" i="132"/>
  <c r="CK51" i="132"/>
  <c r="CL51" i="132"/>
  <c r="BZ51" i="132"/>
  <c r="CA51" i="132"/>
  <c r="CB51" i="132"/>
  <c r="BY51" i="132"/>
  <c r="AE46" i="132"/>
  <c r="AE39" i="132"/>
  <c r="BR65" i="132"/>
  <c r="AA99" i="132"/>
  <c r="AA98" i="132"/>
  <c r="AA96" i="132"/>
  <c r="AA95" i="132"/>
  <c r="AA97" i="132"/>
  <c r="AA70" i="132"/>
  <c r="AA45" i="132"/>
  <c r="AA47" i="132"/>
  <c r="AA46" i="132"/>
  <c r="AA43" i="132"/>
  <c r="AA42" i="132"/>
  <c r="Y95" i="132"/>
  <c r="Y96" i="132"/>
  <c r="Y98" i="132"/>
  <c r="Y99" i="132"/>
  <c r="Y97" i="132"/>
  <c r="Y49" i="132"/>
  <c r="Y45" i="132"/>
  <c r="Y47" i="132"/>
  <c r="Y44" i="132"/>
  <c r="Y39" i="132"/>
  <c r="Y38" i="132"/>
  <c r="X95" i="132"/>
  <c r="X96" i="132"/>
  <c r="X98" i="132"/>
  <c r="X99" i="132"/>
  <c r="X97" i="132"/>
  <c r="X49" i="132"/>
  <c r="BH82" i="132"/>
  <c r="V45" i="132"/>
  <c r="V47" i="132"/>
  <c r="BJ82" i="132"/>
  <c r="BE65" i="132"/>
  <c r="F65" i="132"/>
  <c r="CL65" i="132"/>
  <c r="CK65" i="132"/>
  <c r="CJ65" i="132"/>
  <c r="CI65" i="132"/>
  <c r="CH65" i="132"/>
  <c r="CG65" i="132"/>
  <c r="CF65" i="132"/>
  <c r="CE65" i="132"/>
  <c r="CD65" i="132"/>
  <c r="CC65" i="132"/>
  <c r="CB65" i="132"/>
  <c r="CA65" i="132"/>
  <c r="BZ65" i="132"/>
  <c r="BY65" i="132"/>
  <c r="BX65" i="132"/>
  <c r="BW65" i="132"/>
  <c r="BV65" i="132"/>
  <c r="BU65" i="132"/>
  <c r="BT65" i="132"/>
  <c r="BS65" i="132"/>
  <c r="BQ65" i="132"/>
  <c r="BP65" i="132"/>
  <c r="BO65" i="132"/>
  <c r="BN65" i="132"/>
  <c r="BM65" i="132"/>
  <c r="BL65" i="132"/>
  <c r="BK65" i="132"/>
  <c r="BJ65" i="132"/>
  <c r="BI65" i="132"/>
  <c r="BH65" i="132"/>
  <c r="BG65" i="132"/>
  <c r="BF65" i="132"/>
  <c r="BD65" i="132"/>
  <c r="BC65" i="132"/>
  <c r="BB65" i="132"/>
  <c r="BA65" i="132"/>
  <c r="AZ65" i="132"/>
  <c r="AY65" i="132"/>
  <c r="AX65" i="132"/>
  <c r="AW65" i="132"/>
  <c r="AV65" i="132"/>
  <c r="AU65" i="132"/>
  <c r="AT65" i="132"/>
  <c r="AS35" i="132"/>
  <c r="AS93" i="132"/>
  <c r="AS65" i="132"/>
  <c r="AR35" i="132"/>
  <c r="AR93" i="132"/>
  <c r="AR65" i="132"/>
  <c r="AQ35" i="132"/>
  <c r="AQ93" i="132"/>
  <c r="AQ65" i="132"/>
  <c r="AP35" i="132"/>
  <c r="AP93" i="132"/>
  <c r="AP65" i="132"/>
  <c r="AO35" i="132"/>
  <c r="AO93" i="132"/>
  <c r="AO65" i="132"/>
  <c r="AN35" i="132"/>
  <c r="AN93" i="132"/>
  <c r="AN65" i="132"/>
  <c r="AM35" i="132"/>
  <c r="AM93" i="132"/>
  <c r="AM65" i="132"/>
  <c r="AL35" i="132"/>
  <c r="AL93" i="132"/>
  <c r="AL65" i="132"/>
  <c r="AK35" i="132"/>
  <c r="AK93" i="132"/>
  <c r="AK65" i="132"/>
  <c r="AJ35" i="132"/>
  <c r="AJ93" i="132"/>
  <c r="AJ65" i="132"/>
  <c r="AI35" i="132"/>
  <c r="AI93" i="132"/>
  <c r="AI65" i="132"/>
  <c r="AH35" i="132"/>
  <c r="AH93" i="132"/>
  <c r="AH65" i="132"/>
  <c r="AG35" i="132"/>
  <c r="AG93" i="132"/>
  <c r="AG65" i="132"/>
  <c r="AF35" i="132"/>
  <c r="AF93" i="132"/>
  <c r="AF65" i="132"/>
  <c r="AE35" i="132"/>
  <c r="AE93" i="132"/>
  <c r="AE65" i="132"/>
  <c r="AD35" i="132"/>
  <c r="AD93" i="132"/>
  <c r="AD65" i="132"/>
  <c r="AC35" i="132"/>
  <c r="AC93" i="132"/>
  <c r="AC65" i="132"/>
  <c r="AB35" i="132"/>
  <c r="AB93" i="132"/>
  <c r="AB65" i="132"/>
  <c r="AA35" i="132"/>
  <c r="AA93" i="132"/>
  <c r="AA65" i="132" s="1"/>
  <c r="Z35" i="132"/>
  <c r="Z93" i="132"/>
  <c r="Z65" i="132"/>
  <c r="Y35" i="132"/>
  <c r="Y93" i="132"/>
  <c r="Y65" i="132"/>
  <c r="X35" i="132"/>
  <c r="X93" i="132"/>
  <c r="X65" i="132"/>
  <c r="W35" i="132"/>
  <c r="W93" i="132"/>
  <c r="W65" i="132"/>
  <c r="V35" i="132"/>
  <c r="V93" i="132"/>
  <c r="V65" i="132" s="1"/>
  <c r="U93" i="132"/>
  <c r="U35" i="132"/>
  <c r="U65" i="132"/>
  <c r="T35" i="132"/>
  <c r="T93" i="132"/>
  <c r="T65" i="132"/>
  <c r="S93" i="132"/>
  <c r="S35" i="132"/>
  <c r="S65" i="132"/>
  <c r="R93" i="132"/>
  <c r="R65" i="132"/>
  <c r="Q93" i="132"/>
  <c r="Q35" i="132"/>
  <c r="Q65" i="132"/>
  <c r="P35" i="132"/>
  <c r="P93" i="132"/>
  <c r="P65" i="132" s="1"/>
  <c r="O35" i="132"/>
  <c r="O93" i="132"/>
  <c r="O65" i="132"/>
  <c r="N93" i="132"/>
  <c r="N35" i="132"/>
  <c r="N65" i="132"/>
  <c r="M35" i="132"/>
  <c r="M93" i="132"/>
  <c r="M65" i="132"/>
  <c r="L93" i="132"/>
  <c r="L35" i="132"/>
  <c r="L65" i="132"/>
  <c r="K35" i="132"/>
  <c r="K93" i="132"/>
  <c r="K65" i="132"/>
  <c r="J65" i="132"/>
  <c r="I65" i="132"/>
  <c r="H65" i="132"/>
  <c r="G65" i="132"/>
  <c r="P99" i="132"/>
  <c r="P98" i="132"/>
  <c r="P96" i="132"/>
  <c r="P95" i="132"/>
  <c r="P97" i="132"/>
  <c r="P63" i="132"/>
  <c r="P62" i="132"/>
  <c r="P61" i="132"/>
  <c r="P60" i="132"/>
  <c r="P59" i="132"/>
  <c r="P58" i="132"/>
  <c r="P57" i="132"/>
  <c r="P56" i="132"/>
  <c r="P48" i="132"/>
  <c r="P47" i="132"/>
  <c r="P46" i="132"/>
  <c r="P45" i="132"/>
  <c r="P42" i="132"/>
  <c r="P44" i="132"/>
  <c r="P43" i="132"/>
  <c r="P41" i="132"/>
  <c r="R49" i="132"/>
  <c r="CG21" i="132"/>
  <c r="CG14" i="132"/>
  <c r="R107" i="132"/>
  <c r="R106" i="132"/>
  <c r="R105" i="132"/>
  <c r="R104" i="132"/>
  <c r="R103" i="132"/>
  <c r="R102" i="132"/>
  <c r="R101" i="132"/>
  <c r="R99" i="132"/>
  <c r="R98" i="132"/>
  <c r="R85" i="132"/>
  <c r="R84" i="132"/>
  <c r="R83" i="132"/>
  <c r="AX82" i="132"/>
  <c r="R82" i="132"/>
  <c r="R81" i="132"/>
  <c r="R80" i="132"/>
  <c r="R78" i="132"/>
  <c r="R76" i="132"/>
  <c r="R75" i="132"/>
  <c r="R74" i="132"/>
  <c r="R73" i="132"/>
  <c r="R70" i="132"/>
  <c r="R69" i="132"/>
  <c r="R63" i="132"/>
  <c r="R62" i="132"/>
  <c r="R61" i="132"/>
  <c r="R60" i="132"/>
  <c r="R59" i="132"/>
  <c r="R58" i="132"/>
  <c r="R57" i="132"/>
  <c r="R56" i="132"/>
  <c r="R32" i="132"/>
  <c r="R46" i="132"/>
  <c r="R45" i="132"/>
  <c r="R39" i="132"/>
  <c r="R38" i="132"/>
  <c r="R37" i="132"/>
  <c r="R36" i="132"/>
  <c r="R29" i="132"/>
  <c r="R28" i="132"/>
  <c r="R26" i="132"/>
  <c r="R25" i="132"/>
  <c r="R119" i="132"/>
  <c r="R20" i="132"/>
  <c r="R16" i="132"/>
  <c r="R17" i="132"/>
  <c r="R118" i="132"/>
  <c r="R9" i="132"/>
  <c r="R10" i="132"/>
  <c r="R11" i="132"/>
  <c r="R12" i="132"/>
  <c r="R13" i="132"/>
  <c r="R8" i="132"/>
  <c r="R7" i="132"/>
  <c r="F17" i="132"/>
  <c r="AT71" i="132"/>
  <c r="AT33" i="132"/>
  <c r="AT30" i="132"/>
  <c r="AT21" i="132"/>
  <c r="AT14" i="132"/>
  <c r="CL5" i="132"/>
  <c r="CK5" i="132"/>
  <c r="CJ5" i="132"/>
  <c r="CI5" i="132"/>
  <c r="CH5" i="132"/>
  <c r="CG5" i="132"/>
  <c r="CF5" i="132"/>
  <c r="CE5" i="132"/>
  <c r="CD5" i="132"/>
  <c r="CC5" i="132"/>
  <c r="CB5" i="132"/>
  <c r="CA5" i="132"/>
  <c r="BZ5" i="132"/>
  <c r="BY5" i="132"/>
  <c r="BX5" i="132"/>
  <c r="BW5" i="132"/>
  <c r="BV5" i="132"/>
  <c r="BU5" i="132"/>
  <c r="BT5" i="132"/>
  <c r="BS5" i="132"/>
  <c r="BR5" i="132"/>
  <c r="BQ5" i="132"/>
  <c r="BP5" i="132"/>
  <c r="BO5" i="132"/>
  <c r="BN5" i="132"/>
  <c r="BM5" i="132"/>
  <c r="BL5" i="132"/>
  <c r="BK5" i="132"/>
  <c r="BJ5" i="132"/>
  <c r="BI5" i="132"/>
  <c r="BH5" i="132"/>
  <c r="BG5" i="132"/>
  <c r="BF5" i="132"/>
  <c r="BE5" i="132"/>
  <c r="BD5" i="132"/>
  <c r="BC5" i="132"/>
  <c r="BB5" i="132"/>
  <c r="BA5" i="132"/>
  <c r="AZ5" i="132"/>
  <c r="AY5" i="132"/>
  <c r="AX5" i="132"/>
  <c r="AW5" i="132"/>
  <c r="AV5" i="132"/>
  <c r="AU5" i="132"/>
  <c r="AT5" i="132"/>
  <c r="AS5" i="132"/>
  <c r="AR5" i="132"/>
  <c r="AQ5" i="132"/>
  <c r="AP5" i="132"/>
  <c r="AO5" i="132"/>
  <c r="AN5" i="132"/>
  <c r="AM5" i="132"/>
  <c r="AL5" i="132"/>
  <c r="AK5" i="132"/>
  <c r="AJ5" i="132"/>
  <c r="AI5" i="132"/>
  <c r="AH5" i="132"/>
  <c r="AG5" i="132"/>
  <c r="AF5" i="132"/>
  <c r="AE5" i="132"/>
  <c r="AD5" i="132"/>
  <c r="AC5" i="132"/>
  <c r="AB5" i="132"/>
  <c r="AA5" i="132"/>
  <c r="Z5" i="132"/>
  <c r="Y5" i="132"/>
  <c r="X5" i="132"/>
  <c r="W5" i="132"/>
  <c r="V5" i="132"/>
  <c r="U5" i="132"/>
  <c r="T5" i="132"/>
  <c r="S5" i="132"/>
  <c r="R5" i="132"/>
  <c r="Q5" i="132"/>
  <c r="P5" i="132"/>
  <c r="O5" i="132"/>
  <c r="N5" i="132"/>
  <c r="M5" i="132"/>
  <c r="L5" i="132"/>
  <c r="K5" i="132"/>
  <c r="J5" i="132"/>
  <c r="I5" i="132"/>
  <c r="H5" i="132"/>
  <c r="G5" i="132"/>
  <c r="F5" i="132"/>
  <c r="AS39" i="132"/>
  <c r="AA39" i="132"/>
  <c r="AA38" i="132"/>
  <c r="AA49" i="132"/>
  <c r="X46" i="132"/>
  <c r="V46" i="132"/>
  <c r="AA44" i="132"/>
  <c r="X42" i="132"/>
  <c r="X44" i="132"/>
  <c r="X43" i="132"/>
  <c r="V42" i="132"/>
  <c r="V44" i="132"/>
  <c r="A6" i="132"/>
  <c r="A7" i="132"/>
  <c r="A8" i="132"/>
  <c r="A9" i="132"/>
  <c r="A10" i="132"/>
  <c r="A11" i="132"/>
  <c r="A12" i="132"/>
  <c r="A13" i="132"/>
  <c r="A5" i="132"/>
  <c r="K7" i="132"/>
  <c r="L7" i="132"/>
  <c r="M7" i="132"/>
  <c r="N7" i="132"/>
  <c r="O7" i="132"/>
  <c r="K8" i="132"/>
  <c r="L8" i="132"/>
  <c r="M8" i="132"/>
  <c r="N8" i="132"/>
  <c r="O8" i="132"/>
  <c r="K9" i="132"/>
  <c r="L9" i="132"/>
  <c r="M9" i="132"/>
  <c r="N9" i="132"/>
  <c r="O9" i="132"/>
  <c r="K10" i="132"/>
  <c r="L10" i="132"/>
  <c r="M10" i="132"/>
  <c r="N10" i="132"/>
  <c r="O10" i="132"/>
  <c r="K11" i="132"/>
  <c r="L11" i="132"/>
  <c r="M11" i="132"/>
  <c r="N11" i="132"/>
  <c r="O11" i="132"/>
  <c r="K12" i="132"/>
  <c r="L12" i="132"/>
  <c r="M12" i="132"/>
  <c r="N12" i="132"/>
  <c r="O12" i="132"/>
  <c r="AS50" i="132"/>
  <c r="AE50" i="132"/>
  <c r="AA50" i="132"/>
  <c r="Y50" i="132"/>
  <c r="X50" i="132"/>
  <c r="V50" i="132"/>
  <c r="P50" i="132"/>
  <c r="CL21" i="132"/>
  <c r="I21" i="132"/>
  <c r="H21" i="132"/>
  <c r="G21" i="132"/>
  <c r="F21" i="132"/>
  <c r="AS20" i="132"/>
  <c r="AS119" i="132"/>
  <c r="AS21" i="132"/>
  <c r="AR119" i="132"/>
  <c r="AR20" i="132"/>
  <c r="AR21" i="132"/>
  <c r="AQ119" i="132"/>
  <c r="AQ20" i="132"/>
  <c r="AQ21" i="132"/>
  <c r="AP119" i="132"/>
  <c r="AP20" i="132"/>
  <c r="AP21" i="132"/>
  <c r="AO119" i="132"/>
  <c r="AO20" i="132"/>
  <c r="AO21" i="132"/>
  <c r="AN119" i="132"/>
  <c r="AN20" i="132"/>
  <c r="AN21" i="132"/>
  <c r="AM119" i="132"/>
  <c r="AM20" i="132"/>
  <c r="AM21" i="132"/>
  <c r="AL119" i="132"/>
  <c r="AL20" i="132"/>
  <c r="AL21" i="132"/>
  <c r="AK119" i="132"/>
  <c r="AK20" i="132"/>
  <c r="AK21" i="132"/>
  <c r="AJ119" i="132"/>
  <c r="AJ20" i="132"/>
  <c r="AJ21" i="132"/>
  <c r="AI119" i="132"/>
  <c r="AI20" i="132"/>
  <c r="AI21" i="132"/>
  <c r="AH119" i="132"/>
  <c r="AH20" i="132"/>
  <c r="AH21" i="132"/>
  <c r="AG119" i="132"/>
  <c r="AG20" i="132"/>
  <c r="AG21" i="132"/>
  <c r="AF119" i="132"/>
  <c r="AF20" i="132"/>
  <c r="AF21" i="132"/>
  <c r="AE20" i="132"/>
  <c r="AE119" i="132"/>
  <c r="AE21" i="132"/>
  <c r="AD119" i="132"/>
  <c r="AD20" i="132"/>
  <c r="AD21" i="132"/>
  <c r="AC119" i="132"/>
  <c r="AC20" i="132"/>
  <c r="AC21" i="132"/>
  <c r="AB119" i="132"/>
  <c r="AB20" i="132"/>
  <c r="AB21" i="132"/>
  <c r="AA119" i="132"/>
  <c r="AA20" i="132"/>
  <c r="AA21" i="132"/>
  <c r="Z119" i="132"/>
  <c r="Z20" i="132"/>
  <c r="Z21" i="132"/>
  <c r="Y20" i="132"/>
  <c r="Y119" i="132"/>
  <c r="Y21" i="132"/>
  <c r="X119" i="132"/>
  <c r="X20" i="132"/>
  <c r="X21" i="132"/>
  <c r="W119" i="132"/>
  <c r="W20" i="132"/>
  <c r="W21" i="132"/>
  <c r="V119" i="132"/>
  <c r="V20" i="132"/>
  <c r="V21" i="132"/>
  <c r="U119" i="132"/>
  <c r="U20" i="132"/>
  <c r="U21" i="132"/>
  <c r="T119" i="132"/>
  <c r="T20" i="132"/>
  <c r="T21" i="132"/>
  <c r="S119" i="132"/>
  <c r="S20" i="132"/>
  <c r="S21" i="132"/>
  <c r="R21" i="132"/>
  <c r="Q20" i="132"/>
  <c r="Q21" i="132"/>
  <c r="P119" i="132"/>
  <c r="P21" i="132"/>
  <c r="O119" i="132"/>
  <c r="O20" i="132"/>
  <c r="O21" i="132"/>
  <c r="N119" i="132"/>
  <c r="N20" i="132"/>
  <c r="N21" i="132"/>
  <c r="M119" i="132"/>
  <c r="M20" i="132"/>
  <c r="M21" i="132"/>
  <c r="L119" i="132"/>
  <c r="L20" i="132"/>
  <c r="L21" i="132"/>
  <c r="K119" i="132"/>
  <c r="K20" i="132"/>
  <c r="K21" i="132"/>
  <c r="CK21" i="132"/>
  <c r="CJ21" i="132"/>
  <c r="CI21" i="132"/>
  <c r="CH21" i="132"/>
  <c r="CF21" i="132"/>
  <c r="CE21" i="132"/>
  <c r="CD21" i="132"/>
  <c r="CC21" i="132"/>
  <c r="CB21" i="132"/>
  <c r="CA21" i="132"/>
  <c r="BZ21" i="132"/>
  <c r="BY21" i="132"/>
  <c r="BX21" i="132"/>
  <c r="BW21" i="132"/>
  <c r="BV21" i="132"/>
  <c r="BU21" i="132"/>
  <c r="BT21" i="132"/>
  <c r="BS21" i="132"/>
  <c r="BR21" i="132"/>
  <c r="BQ21" i="132"/>
  <c r="BP21" i="132"/>
  <c r="BO21" i="132"/>
  <c r="BN21" i="132"/>
  <c r="BM21" i="132"/>
  <c r="BL21" i="132"/>
  <c r="BK21" i="132"/>
  <c r="BJ21" i="132"/>
  <c r="BI21" i="132"/>
  <c r="BH21" i="132"/>
  <c r="BG21" i="132"/>
  <c r="BF21" i="132"/>
  <c r="BE21" i="132"/>
  <c r="BD21" i="132"/>
  <c r="BC21" i="132"/>
  <c r="BB21" i="132"/>
  <c r="BA21" i="132"/>
  <c r="AZ21" i="132"/>
  <c r="AY21" i="132"/>
  <c r="AW21" i="132"/>
  <c r="AX21" i="132"/>
  <c r="AV21" i="132"/>
  <c r="AU21" i="132"/>
  <c r="AE99" i="132"/>
  <c r="V99" i="132"/>
  <c r="C99" i="132"/>
  <c r="AE98" i="132"/>
  <c r="V98" i="132"/>
  <c r="B54" i="132"/>
  <c r="B53" i="132"/>
  <c r="C96" i="132"/>
  <c r="BS51" i="132"/>
  <c r="BL51" i="132"/>
  <c r="BK51" i="132"/>
  <c r="BJ51" i="132"/>
  <c r="BI51" i="132"/>
  <c r="BH51" i="132"/>
  <c r="BG51" i="132"/>
  <c r="BF51" i="132"/>
  <c r="BE51" i="132"/>
  <c r="BD51" i="132"/>
  <c r="BC51" i="132"/>
  <c r="U51" i="132" s="1"/>
  <c r="BB51" i="132"/>
  <c r="BA51" i="132"/>
  <c r="AZ51" i="132"/>
  <c r="AY51" i="132"/>
  <c r="AW51" i="132"/>
  <c r="AV51" i="132"/>
  <c r="AU51" i="132"/>
  <c r="AX51" i="132"/>
  <c r="BQ51" i="132"/>
  <c r="BP51" i="132"/>
  <c r="AB51" i="132" s="1"/>
  <c r="BO51" i="132"/>
  <c r="BN51" i="132"/>
  <c r="BM51" i="132"/>
  <c r="BR51" i="132"/>
  <c r="BT51" i="132"/>
  <c r="BU51" i="132"/>
  <c r="BV51" i="132"/>
  <c r="BW51" i="132"/>
  <c r="BX51" i="132"/>
  <c r="C51" i="132"/>
  <c r="AE96" i="132"/>
  <c r="V96" i="132"/>
  <c r="R96" i="132"/>
  <c r="AE95" i="132"/>
  <c r="V95" i="132"/>
  <c r="R95" i="132"/>
  <c r="AE97" i="132"/>
  <c r="V97" i="132"/>
  <c r="R97" i="132"/>
  <c r="AS90" i="132"/>
  <c r="AS91" i="132"/>
  <c r="AS92" i="132"/>
  <c r="AS89" i="132"/>
  <c r="AE90" i="132"/>
  <c r="AE91" i="132"/>
  <c r="AE92" i="132"/>
  <c r="AE89" i="132"/>
  <c r="AA90" i="132"/>
  <c r="AA91" i="132"/>
  <c r="AA92" i="132"/>
  <c r="AA89" i="132"/>
  <c r="Y90" i="132"/>
  <c r="Y91" i="132"/>
  <c r="Y92" i="132"/>
  <c r="Y89" i="132"/>
  <c r="X90" i="132"/>
  <c r="X91" i="132"/>
  <c r="X92" i="132"/>
  <c r="X89" i="132"/>
  <c r="V90" i="132"/>
  <c r="V91" i="132"/>
  <c r="V92" i="132"/>
  <c r="V89" i="132"/>
  <c r="R90" i="132"/>
  <c r="R91" i="132"/>
  <c r="R92" i="132"/>
  <c r="R89" i="132"/>
  <c r="P90" i="132"/>
  <c r="P91" i="132"/>
  <c r="P92" i="132"/>
  <c r="P89" i="132"/>
  <c r="AR92" i="132"/>
  <c r="AQ92" i="132"/>
  <c r="AP92" i="132"/>
  <c r="AO92" i="132"/>
  <c r="AN92" i="132"/>
  <c r="AM92" i="132"/>
  <c r="AL92" i="132"/>
  <c r="AK92" i="132"/>
  <c r="AJ92" i="132"/>
  <c r="AI92" i="132"/>
  <c r="AH92" i="132"/>
  <c r="AG92" i="132"/>
  <c r="AF92" i="132"/>
  <c r="AD92" i="132"/>
  <c r="AC92" i="132"/>
  <c r="AB92" i="132"/>
  <c r="Z92" i="132"/>
  <c r="W92" i="132"/>
  <c r="U92" i="132"/>
  <c r="T92" i="132"/>
  <c r="S92" i="132"/>
  <c r="Q92" i="132"/>
  <c r="O92" i="132"/>
  <c r="N92" i="132"/>
  <c r="M92" i="132"/>
  <c r="L92" i="132"/>
  <c r="K92" i="132"/>
  <c r="AR91" i="132"/>
  <c r="AQ91" i="132"/>
  <c r="AP91" i="132"/>
  <c r="AO91" i="132"/>
  <c r="AN91" i="132"/>
  <c r="AM91" i="132"/>
  <c r="AL91" i="132"/>
  <c r="AK91" i="132"/>
  <c r="AJ91" i="132"/>
  <c r="AI91" i="132"/>
  <c r="AH91" i="132"/>
  <c r="AG91" i="132"/>
  <c r="AF91" i="132"/>
  <c r="AD91" i="132"/>
  <c r="AC91" i="132"/>
  <c r="AB91" i="132"/>
  <c r="Z91" i="132"/>
  <c r="W91" i="132"/>
  <c r="U91" i="132"/>
  <c r="T91" i="132"/>
  <c r="S91" i="132"/>
  <c r="Q91" i="132"/>
  <c r="O91" i="132"/>
  <c r="N91" i="132"/>
  <c r="M91" i="132"/>
  <c r="L91" i="132"/>
  <c r="K91" i="132"/>
  <c r="AR90" i="132"/>
  <c r="AQ90" i="132"/>
  <c r="AP90" i="132"/>
  <c r="AO90" i="132"/>
  <c r="AN90" i="132"/>
  <c r="AM90" i="132"/>
  <c r="AL90" i="132"/>
  <c r="AK90" i="132"/>
  <c r="AJ90" i="132"/>
  <c r="AI90" i="132"/>
  <c r="AH90" i="132"/>
  <c r="AG90" i="132"/>
  <c r="AF90" i="132"/>
  <c r="AD90" i="132"/>
  <c r="AC90" i="132"/>
  <c r="AB90" i="132"/>
  <c r="Z90" i="132"/>
  <c r="W90" i="132"/>
  <c r="U90" i="132"/>
  <c r="T90" i="132"/>
  <c r="S90" i="132"/>
  <c r="Q90" i="132"/>
  <c r="O90" i="132"/>
  <c r="N90" i="132"/>
  <c r="M90" i="132"/>
  <c r="L90" i="132"/>
  <c r="K90" i="132"/>
  <c r="AR89" i="132"/>
  <c r="AQ89" i="132"/>
  <c r="AP89" i="132"/>
  <c r="AO89" i="132"/>
  <c r="AN89" i="132"/>
  <c r="AM89" i="132"/>
  <c r="AL89" i="132"/>
  <c r="AK89" i="132"/>
  <c r="AJ89" i="132"/>
  <c r="AI89" i="132"/>
  <c r="AH89" i="132"/>
  <c r="AG89" i="132"/>
  <c r="AF89" i="132"/>
  <c r="AD89" i="132"/>
  <c r="AC89" i="132"/>
  <c r="AB89" i="132"/>
  <c r="Z89" i="132"/>
  <c r="W89" i="132"/>
  <c r="U89" i="132"/>
  <c r="T89" i="132"/>
  <c r="S89" i="132"/>
  <c r="Q89" i="132"/>
  <c r="O89" i="132"/>
  <c r="N89" i="132"/>
  <c r="M89" i="132"/>
  <c r="L89" i="132"/>
  <c r="K89" i="132"/>
  <c r="AS94" i="132"/>
  <c r="AR94" i="132"/>
  <c r="AQ94" i="132"/>
  <c r="AP94" i="132"/>
  <c r="AO94" i="132"/>
  <c r="AN94" i="132"/>
  <c r="AM94" i="132"/>
  <c r="AL94" i="132"/>
  <c r="AK94" i="132"/>
  <c r="AJ94" i="132"/>
  <c r="AI94" i="132"/>
  <c r="AH94" i="132"/>
  <c r="AG94" i="132"/>
  <c r="AF94" i="132"/>
  <c r="AE94" i="132"/>
  <c r="AD94" i="132"/>
  <c r="AC94" i="132"/>
  <c r="AB94" i="132"/>
  <c r="AA94" i="132"/>
  <c r="Z94" i="132"/>
  <c r="Y94" i="132"/>
  <c r="X94" i="132"/>
  <c r="W94" i="132"/>
  <c r="V94" i="132"/>
  <c r="U94" i="132"/>
  <c r="T94" i="132"/>
  <c r="S94" i="132"/>
  <c r="R94" i="132"/>
  <c r="Q94" i="132"/>
  <c r="P94" i="132"/>
  <c r="O94" i="132"/>
  <c r="N94" i="132"/>
  <c r="M94" i="132"/>
  <c r="L94" i="132"/>
  <c r="K94" i="132"/>
  <c r="AS71" i="132"/>
  <c r="AS54" i="132"/>
  <c r="AS53" i="132"/>
  <c r="AS51" i="132"/>
  <c r="AS45" i="132"/>
  <c r="AS47" i="132"/>
  <c r="AS32" i="132"/>
  <c r="AS33" i="132" s="1"/>
  <c r="AS30" i="132"/>
  <c r="AS16" i="132"/>
  <c r="AS17" i="132"/>
  <c r="AS13" i="132"/>
  <c r="AS14" i="132" s="1"/>
  <c r="AS7" i="132"/>
  <c r="AS107" i="132"/>
  <c r="AR107" i="132"/>
  <c r="AQ107" i="132"/>
  <c r="AS106" i="132"/>
  <c r="AR106" i="132"/>
  <c r="AQ106" i="132"/>
  <c r="AS105" i="132"/>
  <c r="AR105" i="132"/>
  <c r="AQ105" i="132"/>
  <c r="AS104" i="132"/>
  <c r="AR104" i="132"/>
  <c r="AQ104" i="132"/>
  <c r="AS103" i="132"/>
  <c r="AR103" i="132"/>
  <c r="AQ103" i="132"/>
  <c r="AS102" i="132"/>
  <c r="AR102" i="132"/>
  <c r="AQ102" i="132"/>
  <c r="AS101" i="132"/>
  <c r="AR101" i="132"/>
  <c r="AQ101" i="132"/>
  <c r="AR98" i="132"/>
  <c r="AQ98" i="132"/>
  <c r="AR99" i="132"/>
  <c r="AQ99" i="132"/>
  <c r="AR96" i="132"/>
  <c r="AQ96" i="132"/>
  <c r="AR95" i="132"/>
  <c r="AQ95" i="132"/>
  <c r="AR97" i="132"/>
  <c r="AQ97" i="132"/>
  <c r="AS85" i="132"/>
  <c r="AR85" i="132"/>
  <c r="AQ85" i="132"/>
  <c r="AS84" i="132"/>
  <c r="AR84" i="132"/>
  <c r="AQ84" i="132"/>
  <c r="AS83" i="132"/>
  <c r="AR83" i="132"/>
  <c r="AQ83" i="132"/>
  <c r="CG82" i="132"/>
  <c r="CF82" i="132"/>
  <c r="AS82" i="132" s="1"/>
  <c r="CI82" i="132"/>
  <c r="AR82" i="132"/>
  <c r="CK82" i="132"/>
  <c r="AQ82" i="132"/>
  <c r="AS81" i="132"/>
  <c r="AR81" i="132"/>
  <c r="AQ81" i="132"/>
  <c r="AS80" i="132"/>
  <c r="AR80" i="132"/>
  <c r="AQ80" i="132"/>
  <c r="AS78" i="132"/>
  <c r="AR78" i="132"/>
  <c r="AQ78" i="132"/>
  <c r="AS77" i="132"/>
  <c r="AR77" i="132"/>
  <c r="AQ77" i="132"/>
  <c r="AS76" i="132"/>
  <c r="AR76" i="132"/>
  <c r="AQ76" i="132"/>
  <c r="AS75" i="132"/>
  <c r="AR75" i="132"/>
  <c r="AQ75" i="132"/>
  <c r="AS74" i="132"/>
  <c r="AR74" i="132"/>
  <c r="AQ74" i="132"/>
  <c r="AS73" i="132"/>
  <c r="AR73" i="132"/>
  <c r="AQ73" i="132"/>
  <c r="CI71" i="132"/>
  <c r="AR71" i="132" s="1"/>
  <c r="CK71" i="132"/>
  <c r="AQ71" i="132"/>
  <c r="AR70" i="132"/>
  <c r="AQ70" i="132"/>
  <c r="AR69" i="132"/>
  <c r="AQ69" i="132"/>
  <c r="AS61" i="132"/>
  <c r="AR61" i="132"/>
  <c r="AQ61" i="132"/>
  <c r="AS60" i="132"/>
  <c r="AR60" i="132"/>
  <c r="AQ60" i="132"/>
  <c r="AS63" i="132"/>
  <c r="AR63" i="132"/>
  <c r="AQ63" i="132"/>
  <c r="AS62" i="132"/>
  <c r="AR62" i="132"/>
  <c r="AQ62" i="132"/>
  <c r="AS59" i="132"/>
  <c r="AR59" i="132"/>
  <c r="AQ59" i="132"/>
  <c r="AS58" i="132"/>
  <c r="AR58" i="132"/>
  <c r="AQ58" i="132"/>
  <c r="AS57" i="132"/>
  <c r="AR57" i="132"/>
  <c r="AQ57" i="132"/>
  <c r="AS56" i="132"/>
  <c r="AR56" i="132"/>
  <c r="AQ56" i="132"/>
  <c r="AR54" i="132"/>
  <c r="AQ54" i="132"/>
  <c r="AR53" i="132"/>
  <c r="AQ53" i="132"/>
  <c r="AR51" i="132"/>
  <c r="AQ51" i="132"/>
  <c r="AR50" i="132"/>
  <c r="AQ50" i="132"/>
  <c r="AR49" i="132"/>
  <c r="AQ49" i="132"/>
  <c r="AS48" i="132"/>
  <c r="AR48" i="132"/>
  <c r="AQ48" i="132"/>
  <c r="AR47" i="132"/>
  <c r="AQ47" i="132"/>
  <c r="AS46" i="132"/>
  <c r="AR46" i="132"/>
  <c r="AQ46" i="132"/>
  <c r="AR45" i="132"/>
  <c r="AQ45" i="132"/>
  <c r="AR44" i="132"/>
  <c r="AQ44" i="132"/>
  <c r="AR43" i="132"/>
  <c r="AQ43" i="132"/>
  <c r="AR42" i="132"/>
  <c r="AQ42" i="132"/>
  <c r="AS41" i="132"/>
  <c r="AR41" i="132"/>
  <c r="AQ41" i="132"/>
  <c r="AR39" i="132"/>
  <c r="AQ39" i="132"/>
  <c r="AS38" i="132"/>
  <c r="AR38" i="132"/>
  <c r="AQ38" i="132"/>
  <c r="AS37" i="132"/>
  <c r="AR37" i="132"/>
  <c r="AQ37" i="132"/>
  <c r="AS36" i="132"/>
  <c r="AR36" i="132"/>
  <c r="AQ36" i="132"/>
  <c r="CI33" i="132"/>
  <c r="AR33" i="132"/>
  <c r="CK33" i="132"/>
  <c r="AQ33" i="132"/>
  <c r="AR32" i="132"/>
  <c r="AQ32" i="132"/>
  <c r="CI30" i="132"/>
  <c r="AR30" i="132"/>
  <c r="CK30" i="132"/>
  <c r="AQ30" i="132" s="1"/>
  <c r="AS29" i="132"/>
  <c r="AR29" i="132"/>
  <c r="AQ29" i="132"/>
  <c r="AS28" i="132"/>
  <c r="AR28" i="132"/>
  <c r="AQ28" i="132"/>
  <c r="AS26" i="132"/>
  <c r="AR26" i="132"/>
  <c r="AQ26" i="132"/>
  <c r="AS25" i="132"/>
  <c r="AR25" i="132"/>
  <c r="AQ25" i="132"/>
  <c r="AR17" i="132"/>
  <c r="AQ17" i="132"/>
  <c r="AS118" i="132"/>
  <c r="AR118" i="132"/>
  <c r="AQ118" i="132"/>
  <c r="AR16" i="132"/>
  <c r="AQ16" i="132"/>
  <c r="CI14" i="132"/>
  <c r="AR14" i="132" s="1"/>
  <c r="CK14" i="132"/>
  <c r="AQ14" i="132"/>
  <c r="AR13" i="132"/>
  <c r="AQ13" i="132"/>
  <c r="AS9" i="132"/>
  <c r="AR9" i="132"/>
  <c r="AQ9" i="132"/>
  <c r="AS12" i="132"/>
  <c r="AR12" i="132"/>
  <c r="AQ12" i="132"/>
  <c r="AS8" i="132"/>
  <c r="AR8" i="132"/>
  <c r="AQ8" i="132"/>
  <c r="AS11" i="132"/>
  <c r="AR11" i="132"/>
  <c r="AQ11" i="132"/>
  <c r="AS10" i="132"/>
  <c r="AR10" i="132"/>
  <c r="AQ10" i="132"/>
  <c r="AR7" i="132"/>
  <c r="AQ7" i="132"/>
  <c r="AP107" i="132"/>
  <c r="AO107" i="132"/>
  <c r="AN107" i="132"/>
  <c r="AM107" i="132"/>
  <c r="AP106" i="132"/>
  <c r="AO106" i="132"/>
  <c r="AN106" i="132"/>
  <c r="AM106" i="132"/>
  <c r="AP105" i="132"/>
  <c r="AO105" i="132"/>
  <c r="AN105" i="132"/>
  <c r="AM105" i="132"/>
  <c r="AP104" i="132"/>
  <c r="AO104" i="132"/>
  <c r="AN104" i="132"/>
  <c r="AM104" i="132"/>
  <c r="AP103" i="132"/>
  <c r="AO103" i="132"/>
  <c r="AN103" i="132"/>
  <c r="AM103" i="132"/>
  <c r="AP102" i="132"/>
  <c r="AO102" i="132"/>
  <c r="AN102" i="132"/>
  <c r="AM102" i="132"/>
  <c r="AP101" i="132"/>
  <c r="AO101" i="132"/>
  <c r="AN101" i="132"/>
  <c r="AM101" i="132"/>
  <c r="AP98" i="132"/>
  <c r="AO98" i="132"/>
  <c r="AN98" i="132"/>
  <c r="AM98" i="132"/>
  <c r="AP99" i="132"/>
  <c r="AO99" i="132"/>
  <c r="AN99" i="132"/>
  <c r="AM99" i="132"/>
  <c r="AP96" i="132"/>
  <c r="AO96" i="132"/>
  <c r="AN96" i="132"/>
  <c r="AM96" i="132"/>
  <c r="AP95" i="132"/>
  <c r="AO95" i="132"/>
  <c r="AN95" i="132"/>
  <c r="AM95" i="132"/>
  <c r="AP97" i="132"/>
  <c r="AO97" i="132"/>
  <c r="AN97" i="132"/>
  <c r="AM97" i="132"/>
  <c r="AP85" i="132"/>
  <c r="AO85" i="132"/>
  <c r="AN85" i="132"/>
  <c r="AM85" i="132"/>
  <c r="AP84" i="132"/>
  <c r="AO84" i="132"/>
  <c r="AN84" i="132"/>
  <c r="AM84" i="132"/>
  <c r="AP83" i="132"/>
  <c r="AO83" i="132"/>
  <c r="AN83" i="132"/>
  <c r="AM83" i="132"/>
  <c r="CD82" i="132"/>
  <c r="AP82" i="132"/>
  <c r="CC82" i="132"/>
  <c r="AO82" i="132" s="1"/>
  <c r="CJ82" i="132"/>
  <c r="AN82" i="132"/>
  <c r="CH82" i="132"/>
  <c r="AM82" i="132" s="1"/>
  <c r="AP81" i="132"/>
  <c r="AO81" i="132"/>
  <c r="AN81" i="132"/>
  <c r="AM81" i="132"/>
  <c r="AP80" i="132"/>
  <c r="AO80" i="132"/>
  <c r="AN80" i="132"/>
  <c r="AM80" i="132"/>
  <c r="AP78" i="132"/>
  <c r="AO78" i="132"/>
  <c r="AN78" i="132"/>
  <c r="AM78" i="132"/>
  <c r="AP77" i="132"/>
  <c r="AO77" i="132"/>
  <c r="AN77" i="132"/>
  <c r="AM77" i="132"/>
  <c r="AP76" i="132"/>
  <c r="AO76" i="132"/>
  <c r="AN76" i="132"/>
  <c r="AM76" i="132"/>
  <c r="AP75" i="132"/>
  <c r="AO75" i="132"/>
  <c r="AN75" i="132"/>
  <c r="AM75" i="132"/>
  <c r="AP74" i="132"/>
  <c r="AO74" i="132"/>
  <c r="AN74" i="132"/>
  <c r="AM74" i="132"/>
  <c r="AP73" i="132"/>
  <c r="AO73" i="132"/>
  <c r="AN73" i="132"/>
  <c r="AM73" i="132"/>
  <c r="CD71" i="132"/>
  <c r="AP71" i="132"/>
  <c r="CC71" i="132"/>
  <c r="AO71" i="132" s="1"/>
  <c r="CJ71" i="132"/>
  <c r="AN71" i="132"/>
  <c r="CH71" i="132"/>
  <c r="AM71" i="132" s="1"/>
  <c r="AP70" i="132"/>
  <c r="AO70" i="132"/>
  <c r="AN70" i="132"/>
  <c r="AM70" i="132"/>
  <c r="AP69" i="132"/>
  <c r="AO69" i="132"/>
  <c r="AN69" i="132"/>
  <c r="AM69" i="132"/>
  <c r="AP61" i="132"/>
  <c r="AO61" i="132"/>
  <c r="AN61" i="132"/>
  <c r="AM61" i="132"/>
  <c r="AP60" i="132"/>
  <c r="AO60" i="132"/>
  <c r="AN60" i="132"/>
  <c r="AM60" i="132"/>
  <c r="AP63" i="132"/>
  <c r="AO63" i="132"/>
  <c r="AN63" i="132"/>
  <c r="AM63" i="132"/>
  <c r="AP62" i="132"/>
  <c r="AO62" i="132"/>
  <c r="AN62" i="132"/>
  <c r="AM62" i="132"/>
  <c r="AP59" i="132"/>
  <c r="AO59" i="132"/>
  <c r="AN59" i="132"/>
  <c r="AM59" i="132"/>
  <c r="AP58" i="132"/>
  <c r="AO58" i="132"/>
  <c r="AN58" i="132"/>
  <c r="AM58" i="132"/>
  <c r="AP57" i="132"/>
  <c r="AO57" i="132"/>
  <c r="AN57" i="132"/>
  <c r="AM57" i="132"/>
  <c r="AP56" i="132"/>
  <c r="AO56" i="132"/>
  <c r="AN56" i="132"/>
  <c r="AM56" i="132"/>
  <c r="AP54" i="132"/>
  <c r="AO54" i="132"/>
  <c r="AN54" i="132"/>
  <c r="AM54" i="132"/>
  <c r="AO53" i="132"/>
  <c r="AN53" i="132"/>
  <c r="AM53" i="132"/>
  <c r="AP51" i="132"/>
  <c r="AO51" i="132"/>
  <c r="AN51" i="132"/>
  <c r="AM51" i="132"/>
  <c r="AP50" i="132"/>
  <c r="AO50" i="132"/>
  <c r="AN50" i="132"/>
  <c r="AM50" i="132"/>
  <c r="AP49" i="132"/>
  <c r="AO49" i="132"/>
  <c r="AN49" i="132"/>
  <c r="AM49" i="132"/>
  <c r="AP48" i="132"/>
  <c r="AO48" i="132"/>
  <c r="AN48" i="132"/>
  <c r="AM48" i="132"/>
  <c r="AO47" i="132"/>
  <c r="AN47" i="132"/>
  <c r="AM47" i="132"/>
  <c r="AP46" i="132"/>
  <c r="AO46" i="132"/>
  <c r="AN46" i="132"/>
  <c r="AM46" i="132"/>
  <c r="AP45" i="132"/>
  <c r="AO45" i="132"/>
  <c r="AN45" i="132"/>
  <c r="AM45" i="132"/>
  <c r="AP44" i="132"/>
  <c r="AO44" i="132"/>
  <c r="AN44" i="132"/>
  <c r="AM44" i="132"/>
  <c r="AP43" i="132"/>
  <c r="AO43" i="132"/>
  <c r="AN43" i="132"/>
  <c r="AM43" i="132"/>
  <c r="AP42" i="132"/>
  <c r="AO42" i="132"/>
  <c r="AN42" i="132"/>
  <c r="AM42" i="132"/>
  <c r="AP41" i="132"/>
  <c r="AO41" i="132"/>
  <c r="AN41" i="132"/>
  <c r="AM41" i="132"/>
  <c r="AP39" i="132"/>
  <c r="AO39" i="132"/>
  <c r="AN39" i="132"/>
  <c r="AM39" i="132"/>
  <c r="AP38" i="132"/>
  <c r="AO38" i="132"/>
  <c r="AN38" i="132"/>
  <c r="AM38" i="132"/>
  <c r="AP37" i="132"/>
  <c r="AO37" i="132"/>
  <c r="AN37" i="132"/>
  <c r="AM37" i="132"/>
  <c r="AP36" i="132"/>
  <c r="AO36" i="132"/>
  <c r="AN36" i="132"/>
  <c r="AM36" i="132"/>
  <c r="CD33" i="132"/>
  <c r="AP33" i="132" s="1"/>
  <c r="CC33" i="132"/>
  <c r="AO33" i="132"/>
  <c r="CJ33" i="132"/>
  <c r="AN33" i="132"/>
  <c r="CH33" i="132"/>
  <c r="AM33" i="132" s="1"/>
  <c r="AP32" i="132"/>
  <c r="AO32" i="132"/>
  <c r="AN32" i="132"/>
  <c r="AM32" i="132"/>
  <c r="CD30" i="132"/>
  <c r="AP30" i="132"/>
  <c r="CC30" i="132"/>
  <c r="AO30" i="132"/>
  <c r="CJ30" i="132"/>
  <c r="AN30" i="132" s="1"/>
  <c r="CH30" i="132"/>
  <c r="AM30" i="132"/>
  <c r="AP29" i="132"/>
  <c r="AO29" i="132"/>
  <c r="AN29" i="132"/>
  <c r="AM29" i="132"/>
  <c r="AP28" i="132"/>
  <c r="AO28" i="132"/>
  <c r="AN28" i="132"/>
  <c r="AM28" i="132"/>
  <c r="AP26" i="132"/>
  <c r="AO26" i="132"/>
  <c r="AN26" i="132"/>
  <c r="AM26" i="132"/>
  <c r="AP25" i="132"/>
  <c r="AO25" i="132"/>
  <c r="AN25" i="132"/>
  <c r="AM25" i="132"/>
  <c r="AP17" i="132"/>
  <c r="AO17" i="132"/>
  <c r="AN17" i="132"/>
  <c r="AM17" i="132"/>
  <c r="AP118" i="132"/>
  <c r="AO118" i="132"/>
  <c r="AN118" i="132"/>
  <c r="AM118" i="132"/>
  <c r="AP16" i="132"/>
  <c r="AO16" i="132"/>
  <c r="AN16" i="132"/>
  <c r="AM16" i="132"/>
  <c r="CD14" i="132"/>
  <c r="AP14" i="132"/>
  <c r="CC14" i="132"/>
  <c r="AO14" i="132" s="1"/>
  <c r="CJ14" i="132"/>
  <c r="AN14" i="132"/>
  <c r="CH14" i="132"/>
  <c r="AM14" i="132"/>
  <c r="AP13" i="132"/>
  <c r="AO13" i="132"/>
  <c r="AN13" i="132"/>
  <c r="AM13" i="132"/>
  <c r="AP9" i="132"/>
  <c r="AO9" i="132"/>
  <c r="AN9" i="132"/>
  <c r="AM9" i="132"/>
  <c r="AP12" i="132"/>
  <c r="AO12" i="132"/>
  <c r="AN12" i="132"/>
  <c r="AM12" i="132"/>
  <c r="AP8" i="132"/>
  <c r="AO8" i="132"/>
  <c r="AN8" i="132"/>
  <c r="AM8" i="132"/>
  <c r="AP11" i="132"/>
  <c r="AO11" i="132"/>
  <c r="AN11" i="132"/>
  <c r="AM11" i="132"/>
  <c r="AP10" i="132"/>
  <c r="AO10" i="132"/>
  <c r="AN10" i="132"/>
  <c r="AM10" i="132"/>
  <c r="AP7" i="132"/>
  <c r="AO7" i="132"/>
  <c r="AN7" i="132"/>
  <c r="AM7" i="132"/>
  <c r="AL107" i="132"/>
  <c r="AK107" i="132"/>
  <c r="AJ107" i="132"/>
  <c r="AL106" i="132"/>
  <c r="AK106" i="132"/>
  <c r="AJ106" i="132"/>
  <c r="AL105" i="132"/>
  <c r="AK105" i="132"/>
  <c r="AJ105" i="132"/>
  <c r="AL104" i="132"/>
  <c r="AK104" i="132"/>
  <c r="AJ104" i="132"/>
  <c r="AL103" i="132"/>
  <c r="AK103" i="132"/>
  <c r="AJ103" i="132"/>
  <c r="AL102" i="132"/>
  <c r="AK102" i="132"/>
  <c r="AJ102" i="132"/>
  <c r="AL101" i="132"/>
  <c r="AK101" i="132"/>
  <c r="AJ101" i="132"/>
  <c r="AL98" i="132"/>
  <c r="AK98" i="132"/>
  <c r="AJ98" i="132"/>
  <c r="AL99" i="132"/>
  <c r="AK99" i="132"/>
  <c r="AJ99" i="132"/>
  <c r="AL96" i="132"/>
  <c r="AK96" i="132"/>
  <c r="AJ96" i="132"/>
  <c r="AL95" i="132"/>
  <c r="AK95" i="132"/>
  <c r="AJ95" i="132"/>
  <c r="AL97" i="132"/>
  <c r="AK97" i="132"/>
  <c r="AJ97" i="132"/>
  <c r="AL85" i="132"/>
  <c r="AK85" i="132"/>
  <c r="AJ85" i="132"/>
  <c r="AL84" i="132"/>
  <c r="AK84" i="132"/>
  <c r="AJ84" i="132"/>
  <c r="AL83" i="132"/>
  <c r="AK83" i="132"/>
  <c r="AJ83" i="132"/>
  <c r="CE82" i="132"/>
  <c r="AL82" i="132"/>
  <c r="CB82" i="132"/>
  <c r="AK82" i="132" s="1"/>
  <c r="BY82" i="132"/>
  <c r="AJ82" i="132"/>
  <c r="AL81" i="132"/>
  <c r="AK81" i="132"/>
  <c r="AJ81" i="132"/>
  <c r="AL80" i="132"/>
  <c r="AK80" i="132"/>
  <c r="AJ80" i="132"/>
  <c r="AL78" i="132"/>
  <c r="AK78" i="132"/>
  <c r="AJ78" i="132"/>
  <c r="AL77" i="132"/>
  <c r="AK77" i="132"/>
  <c r="AJ77" i="132"/>
  <c r="AL76" i="132"/>
  <c r="AK76" i="132"/>
  <c r="AJ76" i="132"/>
  <c r="AL75" i="132"/>
  <c r="AK75" i="132"/>
  <c r="AJ75" i="132"/>
  <c r="AL74" i="132"/>
  <c r="AK74" i="132"/>
  <c r="AJ74" i="132"/>
  <c r="AL73" i="132"/>
  <c r="AK73" i="132"/>
  <c r="AJ73" i="132"/>
  <c r="CE71" i="132"/>
  <c r="AL71" i="132"/>
  <c r="CB71" i="132"/>
  <c r="AK71" i="132" s="1"/>
  <c r="BY71" i="132"/>
  <c r="AJ71" i="132"/>
  <c r="AL70" i="132"/>
  <c r="AK70" i="132"/>
  <c r="AJ70" i="132"/>
  <c r="AL69" i="132"/>
  <c r="AK69" i="132"/>
  <c r="AJ69" i="132"/>
  <c r="AL61" i="132"/>
  <c r="AK61" i="132"/>
  <c r="AJ61" i="132"/>
  <c r="AL60" i="132"/>
  <c r="AK60" i="132"/>
  <c r="AJ60" i="132"/>
  <c r="AL63" i="132"/>
  <c r="AK63" i="132"/>
  <c r="AJ63" i="132"/>
  <c r="AL62" i="132"/>
  <c r="AK62" i="132"/>
  <c r="AJ62" i="132"/>
  <c r="AL59" i="132"/>
  <c r="AK59" i="132"/>
  <c r="AJ59" i="132"/>
  <c r="AL58" i="132"/>
  <c r="AK58" i="132"/>
  <c r="AJ58" i="132"/>
  <c r="AL57" i="132"/>
  <c r="AK57" i="132"/>
  <c r="AJ57" i="132"/>
  <c r="AL56" i="132"/>
  <c r="AK56" i="132"/>
  <c r="AJ56" i="132"/>
  <c r="AL54" i="132"/>
  <c r="AK54" i="132"/>
  <c r="AJ54" i="132"/>
  <c r="AL53" i="132"/>
  <c r="AK53" i="132"/>
  <c r="AJ53" i="132"/>
  <c r="AL51" i="132"/>
  <c r="AK51" i="132"/>
  <c r="AJ51" i="132"/>
  <c r="AL50" i="132"/>
  <c r="AK50" i="132"/>
  <c r="AJ50" i="132"/>
  <c r="AL49" i="132"/>
  <c r="AK49" i="132"/>
  <c r="AJ49" i="132"/>
  <c r="AL48" i="132"/>
  <c r="AK48" i="132"/>
  <c r="AJ48" i="132"/>
  <c r="AL47" i="132"/>
  <c r="AK47" i="132"/>
  <c r="AJ47" i="132"/>
  <c r="AL46" i="132"/>
  <c r="AK46" i="132"/>
  <c r="AJ46" i="132"/>
  <c r="AL45" i="132"/>
  <c r="AK45" i="132"/>
  <c r="AJ45" i="132"/>
  <c r="AL44" i="132"/>
  <c r="AK44" i="132"/>
  <c r="AJ44" i="132"/>
  <c r="AL43" i="132"/>
  <c r="AK43" i="132"/>
  <c r="AJ43" i="132"/>
  <c r="AL42" i="132"/>
  <c r="AK42" i="132"/>
  <c r="AJ42" i="132"/>
  <c r="AL41" i="132"/>
  <c r="AK41" i="132"/>
  <c r="AJ41" i="132"/>
  <c r="AL39" i="132"/>
  <c r="AK39" i="132"/>
  <c r="AJ39" i="132"/>
  <c r="AL38" i="132"/>
  <c r="AK38" i="132"/>
  <c r="AJ38" i="132"/>
  <c r="AL37" i="132"/>
  <c r="AK37" i="132"/>
  <c r="AJ37" i="132"/>
  <c r="AL36" i="132"/>
  <c r="AK36" i="132"/>
  <c r="AJ36" i="132"/>
  <c r="CE33" i="132"/>
  <c r="AL33" i="132" s="1"/>
  <c r="CB33" i="132"/>
  <c r="AK33" i="132"/>
  <c r="BY33" i="132"/>
  <c r="AJ33" i="132" s="1"/>
  <c r="AL32" i="132"/>
  <c r="AK32" i="132"/>
  <c r="AJ32" i="132"/>
  <c r="CE30" i="132"/>
  <c r="AL30" i="132" s="1"/>
  <c r="CB30" i="132"/>
  <c r="AK30" i="132"/>
  <c r="BY30" i="132"/>
  <c r="AJ30" i="132"/>
  <c r="AL29" i="132"/>
  <c r="AK29" i="132"/>
  <c r="AJ29" i="132"/>
  <c r="AL28" i="132"/>
  <c r="AK28" i="132"/>
  <c r="AJ28" i="132"/>
  <c r="AL26" i="132"/>
  <c r="AK26" i="132"/>
  <c r="AJ26" i="132"/>
  <c r="AL25" i="132"/>
  <c r="AK25" i="132"/>
  <c r="AJ25" i="132"/>
  <c r="AL17" i="132"/>
  <c r="AK17" i="132"/>
  <c r="AJ17" i="132"/>
  <c r="AL118" i="132"/>
  <c r="AK118" i="132"/>
  <c r="AJ118" i="132"/>
  <c r="AL16" i="132"/>
  <c r="AK16" i="132"/>
  <c r="AJ16" i="132"/>
  <c r="CE14" i="132"/>
  <c r="AL14" i="132"/>
  <c r="CB14" i="132"/>
  <c r="AK14" i="132"/>
  <c r="BY14" i="132"/>
  <c r="AJ14" i="132" s="1"/>
  <c r="AL13" i="132"/>
  <c r="AK13" i="132"/>
  <c r="AJ13" i="132"/>
  <c r="AL9" i="132"/>
  <c r="AK9" i="132"/>
  <c r="AJ9" i="132"/>
  <c r="AL12" i="132"/>
  <c r="AK12" i="132"/>
  <c r="AJ12" i="132"/>
  <c r="AL8" i="132"/>
  <c r="AK8" i="132"/>
  <c r="AJ8" i="132"/>
  <c r="AL11" i="132"/>
  <c r="AK11" i="132"/>
  <c r="AJ11" i="132"/>
  <c r="AL10" i="132"/>
  <c r="AK10" i="132"/>
  <c r="AJ10" i="132"/>
  <c r="AL7" i="132"/>
  <c r="AK7" i="132"/>
  <c r="AJ7" i="132"/>
  <c r="AI107" i="132"/>
  <c r="AH107" i="132"/>
  <c r="AG107" i="132"/>
  <c r="AF107" i="132"/>
  <c r="AI106" i="132"/>
  <c r="AH106" i="132"/>
  <c r="AG106" i="132"/>
  <c r="AF106" i="132"/>
  <c r="AI105" i="132"/>
  <c r="AH105" i="132"/>
  <c r="AG105" i="132"/>
  <c r="AF105" i="132"/>
  <c r="AI104" i="132"/>
  <c r="AH104" i="132"/>
  <c r="AG104" i="132"/>
  <c r="AF104" i="132"/>
  <c r="AI103" i="132"/>
  <c r="AH103" i="132"/>
  <c r="AG103" i="132"/>
  <c r="AF103" i="132"/>
  <c r="AI102" i="132"/>
  <c r="AH102" i="132"/>
  <c r="AG102" i="132"/>
  <c r="AF102" i="132"/>
  <c r="AI101" i="132"/>
  <c r="AH101" i="132"/>
  <c r="AG101" i="132"/>
  <c r="AF101" i="132"/>
  <c r="AI98" i="132"/>
  <c r="AH98" i="132"/>
  <c r="AG98" i="132"/>
  <c r="AF98" i="132"/>
  <c r="AI99" i="132"/>
  <c r="AH99" i="132"/>
  <c r="AG99" i="132"/>
  <c r="AF99" i="132"/>
  <c r="AI96" i="132"/>
  <c r="AH96" i="132"/>
  <c r="AG96" i="132"/>
  <c r="AF96" i="132"/>
  <c r="AI95" i="132"/>
  <c r="AH95" i="132"/>
  <c r="AG95" i="132"/>
  <c r="AF95" i="132"/>
  <c r="AI97" i="132"/>
  <c r="AH97" i="132"/>
  <c r="AG97" i="132"/>
  <c r="AF97" i="132"/>
  <c r="AI85" i="132"/>
  <c r="AH85" i="132"/>
  <c r="AG85" i="132"/>
  <c r="AF85" i="132"/>
  <c r="AI84" i="132"/>
  <c r="AH84" i="132"/>
  <c r="AG84" i="132"/>
  <c r="AF84" i="132"/>
  <c r="AI83" i="132"/>
  <c r="AH83" i="132"/>
  <c r="AG83" i="132"/>
  <c r="AF83" i="132"/>
  <c r="BW82" i="132"/>
  <c r="AI82" i="132"/>
  <c r="BZ82" i="132"/>
  <c r="AH82" i="132" s="1"/>
  <c r="BV82" i="132"/>
  <c r="AG82" i="132"/>
  <c r="CA82" i="132"/>
  <c r="AF82" i="132" s="1"/>
  <c r="AI81" i="132"/>
  <c r="AH81" i="132"/>
  <c r="AG81" i="132"/>
  <c r="AF81" i="132"/>
  <c r="AI80" i="132"/>
  <c r="AH80" i="132"/>
  <c r="AG80" i="132"/>
  <c r="AF80" i="132"/>
  <c r="AI78" i="132"/>
  <c r="AH78" i="132"/>
  <c r="AG78" i="132"/>
  <c r="AF78" i="132"/>
  <c r="AI77" i="132"/>
  <c r="AH77" i="132"/>
  <c r="AG77" i="132"/>
  <c r="AF77" i="132"/>
  <c r="AI76" i="132"/>
  <c r="AH76" i="132"/>
  <c r="AG76" i="132"/>
  <c r="AF76" i="132"/>
  <c r="AI75" i="132"/>
  <c r="AH75" i="132"/>
  <c r="AG75" i="132"/>
  <c r="AF75" i="132"/>
  <c r="AI74" i="132"/>
  <c r="AH74" i="132"/>
  <c r="AG74" i="132"/>
  <c r="AF74" i="132"/>
  <c r="AI73" i="132"/>
  <c r="AH73" i="132"/>
  <c r="AG73" i="132"/>
  <c r="AF73" i="132"/>
  <c r="BW71" i="132"/>
  <c r="AI71" i="132"/>
  <c r="BZ71" i="132"/>
  <c r="AH71" i="132" s="1"/>
  <c r="BV71" i="132"/>
  <c r="AG71" i="132"/>
  <c r="CA71" i="132"/>
  <c r="AF71" i="132" s="1"/>
  <c r="AI70" i="132"/>
  <c r="AH70" i="132"/>
  <c r="AG70" i="132"/>
  <c r="AF70" i="132"/>
  <c r="AI69" i="132"/>
  <c r="AH69" i="132"/>
  <c r="AG69" i="132"/>
  <c r="AF69" i="132"/>
  <c r="AI61" i="132"/>
  <c r="AH61" i="132"/>
  <c r="AG61" i="132"/>
  <c r="AF61" i="132"/>
  <c r="AI60" i="132"/>
  <c r="AH60" i="132"/>
  <c r="AG60" i="132"/>
  <c r="AF60" i="132"/>
  <c r="AI63" i="132"/>
  <c r="AH63" i="132"/>
  <c r="AG63" i="132"/>
  <c r="AF63" i="132"/>
  <c r="AI62" i="132"/>
  <c r="AH62" i="132"/>
  <c r="AG62" i="132"/>
  <c r="AF62" i="132"/>
  <c r="AI59" i="132"/>
  <c r="AH59" i="132"/>
  <c r="AG59" i="132"/>
  <c r="AF59" i="132"/>
  <c r="AI58" i="132"/>
  <c r="AH58" i="132"/>
  <c r="AG58" i="132"/>
  <c r="AF58" i="132"/>
  <c r="AI57" i="132"/>
  <c r="AH57" i="132"/>
  <c r="AG57" i="132"/>
  <c r="AF57" i="132"/>
  <c r="AI56" i="132"/>
  <c r="AH56" i="132"/>
  <c r="AG56" i="132"/>
  <c r="AF56" i="132"/>
  <c r="AI54" i="132"/>
  <c r="AH54" i="132"/>
  <c r="AG54" i="132"/>
  <c r="AF54" i="132"/>
  <c r="AI53" i="132"/>
  <c r="AH53" i="132"/>
  <c r="AG53" i="132"/>
  <c r="AF53" i="132"/>
  <c r="AI51" i="132"/>
  <c r="AH51" i="132"/>
  <c r="AG51" i="132"/>
  <c r="AF51" i="132"/>
  <c r="AI50" i="132"/>
  <c r="AH50" i="132"/>
  <c r="AG50" i="132"/>
  <c r="AF50" i="132"/>
  <c r="AI49" i="132"/>
  <c r="AH49" i="132"/>
  <c r="AG49" i="132"/>
  <c r="AF49" i="132"/>
  <c r="AI48" i="132"/>
  <c r="AH48" i="132"/>
  <c r="AG48" i="132"/>
  <c r="AF48" i="132"/>
  <c r="AI47" i="132"/>
  <c r="AH47" i="132"/>
  <c r="AG47" i="132"/>
  <c r="AF47" i="132"/>
  <c r="AI46" i="132"/>
  <c r="AH46" i="132"/>
  <c r="AG46" i="132"/>
  <c r="AF46" i="132"/>
  <c r="AI45" i="132"/>
  <c r="AH45" i="132"/>
  <c r="AG45" i="132"/>
  <c r="AF45" i="132"/>
  <c r="AI44" i="132"/>
  <c r="AH44" i="132"/>
  <c r="AG44" i="132"/>
  <c r="AF44" i="132"/>
  <c r="AI43" i="132"/>
  <c r="AH43" i="132"/>
  <c r="AG43" i="132"/>
  <c r="AF43" i="132"/>
  <c r="AI42" i="132"/>
  <c r="AH42" i="132"/>
  <c r="AG42" i="132"/>
  <c r="AF42" i="132"/>
  <c r="AI41" i="132"/>
  <c r="AH41" i="132"/>
  <c r="AG41" i="132"/>
  <c r="AF41" i="132"/>
  <c r="AI39" i="132"/>
  <c r="AH39" i="132"/>
  <c r="AG39" i="132"/>
  <c r="AF39" i="132"/>
  <c r="AI38" i="132"/>
  <c r="AH38" i="132"/>
  <c r="AG38" i="132"/>
  <c r="AF38" i="132"/>
  <c r="AI37" i="132"/>
  <c r="AH37" i="132"/>
  <c r="AG37" i="132"/>
  <c r="AF37" i="132"/>
  <c r="AI36" i="132"/>
  <c r="AH36" i="132"/>
  <c r="AG36" i="132"/>
  <c r="AF36" i="132"/>
  <c r="BW33" i="132"/>
  <c r="AI33" i="132" s="1"/>
  <c r="BZ33" i="132"/>
  <c r="AH33" i="132"/>
  <c r="BV33" i="132"/>
  <c r="AG33" i="132"/>
  <c r="CA33" i="132"/>
  <c r="AF33" i="132" s="1"/>
  <c r="AI32" i="132"/>
  <c r="AH32" i="132"/>
  <c r="AG32" i="132"/>
  <c r="AF32" i="132"/>
  <c r="BW30" i="132"/>
  <c r="AI30" i="132"/>
  <c r="BZ30" i="132"/>
  <c r="AH30" i="132"/>
  <c r="BV30" i="132"/>
  <c r="AG30" i="132" s="1"/>
  <c r="CA30" i="132"/>
  <c r="AF30" i="132"/>
  <c r="AI29" i="132"/>
  <c r="AH29" i="132"/>
  <c r="AG29" i="132"/>
  <c r="AF29" i="132"/>
  <c r="AI28" i="132"/>
  <c r="AH28" i="132"/>
  <c r="AG28" i="132"/>
  <c r="AF28" i="132"/>
  <c r="AI26" i="132"/>
  <c r="AH26" i="132"/>
  <c r="AG26" i="132"/>
  <c r="AF26" i="132"/>
  <c r="AI25" i="132"/>
  <c r="AH25" i="132"/>
  <c r="AG25" i="132"/>
  <c r="AF25" i="132"/>
  <c r="AI17" i="132"/>
  <c r="AH17" i="132"/>
  <c r="AG17" i="132"/>
  <c r="AF17" i="132"/>
  <c r="AI118" i="132"/>
  <c r="AH118" i="132"/>
  <c r="AG118" i="132"/>
  <c r="AF118" i="132"/>
  <c r="AI16" i="132"/>
  <c r="AH16" i="132"/>
  <c r="AG16" i="132"/>
  <c r="AF16" i="132"/>
  <c r="BW14" i="132"/>
  <c r="AI14" i="132"/>
  <c r="BZ14" i="132"/>
  <c r="AH14" i="132" s="1"/>
  <c r="BV14" i="132"/>
  <c r="AG14" i="132"/>
  <c r="CA14" i="132"/>
  <c r="AF14" i="132"/>
  <c r="AI13" i="132"/>
  <c r="AH13" i="132"/>
  <c r="AG13" i="132"/>
  <c r="AF13" i="132"/>
  <c r="AI9" i="132"/>
  <c r="AH9" i="132"/>
  <c r="AG9" i="132"/>
  <c r="AF9" i="132"/>
  <c r="AI12" i="132"/>
  <c r="AH12" i="132"/>
  <c r="AG12" i="132"/>
  <c r="AF12" i="132"/>
  <c r="AI8" i="132"/>
  <c r="AH8" i="132"/>
  <c r="AG8" i="132"/>
  <c r="AF8" i="132"/>
  <c r="AI11" i="132"/>
  <c r="AH11" i="132"/>
  <c r="AG11" i="132"/>
  <c r="AF11" i="132"/>
  <c r="AI10" i="132"/>
  <c r="AH10" i="132"/>
  <c r="AG10" i="132"/>
  <c r="AF10" i="132"/>
  <c r="AI7" i="132"/>
  <c r="AH7" i="132"/>
  <c r="AG7" i="132"/>
  <c r="AF7" i="132"/>
  <c r="AE69" i="132"/>
  <c r="AE70" i="132"/>
  <c r="AE71" i="132" s="1"/>
  <c r="AE54" i="132"/>
  <c r="AE53" i="132"/>
  <c r="AE51" i="132"/>
  <c r="AE45" i="132"/>
  <c r="AE42" i="132"/>
  <c r="AE44" i="132"/>
  <c r="AE32" i="132"/>
  <c r="AE33" i="132"/>
  <c r="AE30" i="132"/>
  <c r="AE16" i="132"/>
  <c r="AE17" i="132"/>
  <c r="AE13" i="132"/>
  <c r="AE7" i="132"/>
  <c r="AE14" i="132" s="1"/>
  <c r="AE107" i="132"/>
  <c r="AE106" i="132"/>
  <c r="AE105" i="132"/>
  <c r="AE104" i="132"/>
  <c r="AE103" i="132"/>
  <c r="AE102" i="132"/>
  <c r="AE101" i="132"/>
  <c r="AE85" i="132"/>
  <c r="AE84" i="132"/>
  <c r="AE83" i="132"/>
  <c r="BT82" i="132"/>
  <c r="BS82" i="132"/>
  <c r="AE82" i="132"/>
  <c r="AE81" i="132"/>
  <c r="AE80" i="132"/>
  <c r="AE78" i="132"/>
  <c r="AE77" i="132"/>
  <c r="AE76" i="132"/>
  <c r="AE75" i="132"/>
  <c r="AE74" i="132"/>
  <c r="AE73" i="132"/>
  <c r="AE61" i="132"/>
  <c r="AE60" i="132"/>
  <c r="AE63" i="132"/>
  <c r="AE62" i="132"/>
  <c r="AE59" i="132"/>
  <c r="AE58" i="132"/>
  <c r="AE57" i="132"/>
  <c r="AE56" i="132"/>
  <c r="AE49" i="132"/>
  <c r="AE48" i="132"/>
  <c r="AE43" i="132"/>
  <c r="AE41" i="132"/>
  <c r="AE38" i="132"/>
  <c r="AE37" i="132"/>
  <c r="AE36" i="132"/>
  <c r="AE29" i="132"/>
  <c r="AE28" i="132"/>
  <c r="AE26" i="132"/>
  <c r="AE25" i="132"/>
  <c r="AE118" i="132"/>
  <c r="AE9" i="132"/>
  <c r="AE12" i="132"/>
  <c r="AE8" i="132"/>
  <c r="AE11" i="132"/>
  <c r="AE10" i="132"/>
  <c r="AD107" i="132"/>
  <c r="AC107" i="132"/>
  <c r="AB107" i="132"/>
  <c r="AD106" i="132"/>
  <c r="AC106" i="132"/>
  <c r="AB106" i="132"/>
  <c r="AD105" i="132"/>
  <c r="AC105" i="132"/>
  <c r="AB105" i="132"/>
  <c r="AD104" i="132"/>
  <c r="AC104" i="132"/>
  <c r="AB104" i="132"/>
  <c r="AD103" i="132"/>
  <c r="AC103" i="132"/>
  <c r="AB103" i="132"/>
  <c r="AD102" i="132"/>
  <c r="AC102" i="132"/>
  <c r="AB102" i="132"/>
  <c r="AD101" i="132"/>
  <c r="AC101" i="132"/>
  <c r="AB101" i="132"/>
  <c r="AD98" i="132"/>
  <c r="AC98" i="132"/>
  <c r="AB98" i="132"/>
  <c r="AD99" i="132"/>
  <c r="AC99" i="132"/>
  <c r="AB99" i="132"/>
  <c r="AD96" i="132"/>
  <c r="AC96" i="132"/>
  <c r="AB96" i="132"/>
  <c r="AD95" i="132"/>
  <c r="AC95" i="132"/>
  <c r="AB95" i="132"/>
  <c r="AD97" i="132"/>
  <c r="AC97" i="132"/>
  <c r="AB97" i="132"/>
  <c r="AD85" i="132"/>
  <c r="AC85" i="132"/>
  <c r="AB85" i="132"/>
  <c r="AD84" i="132"/>
  <c r="AC84" i="132"/>
  <c r="AB84" i="132"/>
  <c r="AD83" i="132"/>
  <c r="AC83" i="132"/>
  <c r="AB83" i="132"/>
  <c r="BU82" i="132"/>
  <c r="AD82" i="132"/>
  <c r="BX82" i="132"/>
  <c r="AC82" i="132" s="1"/>
  <c r="BP82" i="132"/>
  <c r="AB82" i="132"/>
  <c r="AD81" i="132"/>
  <c r="AC81" i="132"/>
  <c r="AB81" i="132"/>
  <c r="AD80" i="132"/>
  <c r="AC80" i="132"/>
  <c r="AB80" i="132"/>
  <c r="AD78" i="132"/>
  <c r="AC78" i="132"/>
  <c r="AB78" i="132"/>
  <c r="AD77" i="132"/>
  <c r="AC77" i="132"/>
  <c r="AB77" i="132"/>
  <c r="AD76" i="132"/>
  <c r="AC76" i="132"/>
  <c r="AB76" i="132"/>
  <c r="AD75" i="132"/>
  <c r="AC75" i="132"/>
  <c r="AB75" i="132"/>
  <c r="AD74" i="132"/>
  <c r="AC74" i="132"/>
  <c r="AB74" i="132"/>
  <c r="AD73" i="132"/>
  <c r="AC73" i="132"/>
  <c r="AB73" i="132"/>
  <c r="BU71" i="132"/>
  <c r="AD71" i="132"/>
  <c r="BX71" i="132"/>
  <c r="AC71" i="132" s="1"/>
  <c r="BP71" i="132"/>
  <c r="AB71" i="132"/>
  <c r="AD70" i="132"/>
  <c r="AC70" i="132"/>
  <c r="AB70" i="132"/>
  <c r="AD69" i="132"/>
  <c r="AC69" i="132"/>
  <c r="AB69" i="132"/>
  <c r="AD61" i="132"/>
  <c r="AC61" i="132"/>
  <c r="AB61" i="132"/>
  <c r="AD60" i="132"/>
  <c r="AC60" i="132"/>
  <c r="AB60" i="132"/>
  <c r="AD63" i="132"/>
  <c r="AC63" i="132"/>
  <c r="AB63" i="132"/>
  <c r="AD62" i="132"/>
  <c r="AC62" i="132"/>
  <c r="AB62" i="132"/>
  <c r="AD59" i="132"/>
  <c r="AC59" i="132"/>
  <c r="AB59" i="132"/>
  <c r="AD58" i="132"/>
  <c r="AC58" i="132"/>
  <c r="AB58" i="132"/>
  <c r="AD57" i="132"/>
  <c r="AC57" i="132"/>
  <c r="AB57" i="132"/>
  <c r="AD56" i="132"/>
  <c r="AC56" i="132"/>
  <c r="AB56" i="132"/>
  <c r="AD54" i="132"/>
  <c r="AC54" i="132"/>
  <c r="AB54" i="132"/>
  <c r="AD53" i="132"/>
  <c r="AC53" i="132"/>
  <c r="AB53" i="132"/>
  <c r="AD51" i="132"/>
  <c r="AC51" i="132"/>
  <c r="AD50" i="132"/>
  <c r="AC50" i="132"/>
  <c r="AB50" i="132"/>
  <c r="AD49" i="132"/>
  <c r="AC49" i="132"/>
  <c r="AB49" i="132"/>
  <c r="AD48" i="132"/>
  <c r="AC48" i="132"/>
  <c r="AB48" i="132"/>
  <c r="AD47" i="132"/>
  <c r="AC47" i="132"/>
  <c r="AB47" i="132"/>
  <c r="AD46" i="132"/>
  <c r="AC46" i="132"/>
  <c r="AB46" i="132"/>
  <c r="AD45" i="132"/>
  <c r="AC45" i="132"/>
  <c r="AB45" i="132"/>
  <c r="AD44" i="132"/>
  <c r="AC44" i="132"/>
  <c r="AB44" i="132"/>
  <c r="AD43" i="132"/>
  <c r="AC43" i="132"/>
  <c r="AB43" i="132"/>
  <c r="AD42" i="132"/>
  <c r="AC42" i="132"/>
  <c r="AB42" i="132"/>
  <c r="AD41" i="132"/>
  <c r="AC41" i="132"/>
  <c r="AB41" i="132"/>
  <c r="AD39" i="132"/>
  <c r="AC39" i="132"/>
  <c r="AB39" i="132"/>
  <c r="AD38" i="132"/>
  <c r="AC38" i="132"/>
  <c r="AB38" i="132"/>
  <c r="AD37" i="132"/>
  <c r="AC37" i="132"/>
  <c r="AB37" i="132"/>
  <c r="AD36" i="132"/>
  <c r="AC36" i="132"/>
  <c r="AB36" i="132"/>
  <c r="BU33" i="132"/>
  <c r="AD33" i="132" s="1"/>
  <c r="BX33" i="132"/>
  <c r="AC33" i="132"/>
  <c r="BP33" i="132"/>
  <c r="AB33" i="132"/>
  <c r="AD32" i="132"/>
  <c r="AC32" i="132"/>
  <c r="AB32" i="132"/>
  <c r="BU30" i="132"/>
  <c r="AD30" i="132"/>
  <c r="BX30" i="132"/>
  <c r="AC30" i="132" s="1"/>
  <c r="BP30" i="132"/>
  <c r="AB30" i="132"/>
  <c r="AD29" i="132"/>
  <c r="AC29" i="132"/>
  <c r="AB29" i="132"/>
  <c r="AD28" i="132"/>
  <c r="AC28" i="132"/>
  <c r="AB28" i="132"/>
  <c r="AD26" i="132"/>
  <c r="AC26" i="132"/>
  <c r="AB26" i="132"/>
  <c r="AD25" i="132"/>
  <c r="AC25" i="132"/>
  <c r="AB25" i="132"/>
  <c r="AD17" i="132"/>
  <c r="AC17" i="132"/>
  <c r="AB17" i="132"/>
  <c r="AD118" i="132"/>
  <c r="AC118" i="132"/>
  <c r="AB118" i="132"/>
  <c r="AD16" i="132"/>
  <c r="AC16" i="132"/>
  <c r="AB16" i="132"/>
  <c r="BU14" i="132"/>
  <c r="AD14" i="132" s="1"/>
  <c r="BX14" i="132"/>
  <c r="AC14" i="132"/>
  <c r="BP14" i="132"/>
  <c r="AB14" i="132" s="1"/>
  <c r="AD13" i="132"/>
  <c r="AC13" i="132"/>
  <c r="AB13" i="132"/>
  <c r="AD9" i="132"/>
  <c r="AC9" i="132"/>
  <c r="AB9" i="132"/>
  <c r="AD12" i="132"/>
  <c r="AC12" i="132"/>
  <c r="AB12" i="132"/>
  <c r="AD8" i="132"/>
  <c r="AC8" i="132"/>
  <c r="AB8" i="132"/>
  <c r="AD11" i="132"/>
  <c r="AC11" i="132"/>
  <c r="AB11" i="132"/>
  <c r="AD10" i="132"/>
  <c r="AC10" i="132"/>
  <c r="AB10" i="132"/>
  <c r="AD7" i="132"/>
  <c r="AC7" i="132"/>
  <c r="AB7" i="132"/>
  <c r="AA69" i="132"/>
  <c r="AA71" i="132"/>
  <c r="AA54" i="132"/>
  <c r="AA51" i="132"/>
  <c r="AA32" i="132"/>
  <c r="AA33" i="132"/>
  <c r="AA30" i="132"/>
  <c r="AA16" i="132"/>
  <c r="AA17" i="132" s="1"/>
  <c r="AA13" i="132"/>
  <c r="AA7" i="132"/>
  <c r="AA14" i="132"/>
  <c r="AA107" i="132"/>
  <c r="AA106" i="132"/>
  <c r="AA105" i="132"/>
  <c r="AA104" i="132"/>
  <c r="AA103" i="132"/>
  <c r="AA102" i="132"/>
  <c r="AA101" i="132"/>
  <c r="AA85" i="132"/>
  <c r="AA84" i="132"/>
  <c r="AA83" i="132"/>
  <c r="BQ82" i="132"/>
  <c r="AA82" i="132" s="1"/>
  <c r="BO82" i="132"/>
  <c r="AA81" i="132"/>
  <c r="AA80" i="132"/>
  <c r="AA78" i="132"/>
  <c r="AA76" i="132"/>
  <c r="AA75" i="132"/>
  <c r="AA74" i="132"/>
  <c r="AA73" i="132"/>
  <c r="AA61" i="132"/>
  <c r="AA60" i="132"/>
  <c r="AA63" i="132"/>
  <c r="AA62" i="132"/>
  <c r="AA59" i="132"/>
  <c r="AA58" i="132"/>
  <c r="AA57" i="132"/>
  <c r="AA56" i="132"/>
  <c r="AA48" i="132"/>
  <c r="AA41" i="132"/>
  <c r="AA37" i="132"/>
  <c r="AA36" i="132"/>
  <c r="AA29" i="132"/>
  <c r="AA28" i="132"/>
  <c r="AA26" i="132"/>
  <c r="AA25" i="132"/>
  <c r="AA118" i="132"/>
  <c r="AA9" i="132"/>
  <c r="AA12" i="132"/>
  <c r="AA8" i="132"/>
  <c r="AA11" i="132"/>
  <c r="AA10" i="132"/>
  <c r="Z107" i="132"/>
  <c r="Z106" i="132"/>
  <c r="Z105" i="132"/>
  <c r="Z104" i="132"/>
  <c r="Z103" i="132"/>
  <c r="Z102" i="132"/>
  <c r="Z101" i="132"/>
  <c r="Z98" i="132"/>
  <c r="Z99" i="132"/>
  <c r="Z96" i="132"/>
  <c r="Z95" i="132"/>
  <c r="Z97" i="132"/>
  <c r="Z85" i="132"/>
  <c r="Z84" i="132"/>
  <c r="Z83" i="132"/>
  <c r="BM82" i="132"/>
  <c r="Z82" i="132"/>
  <c r="Z81" i="132"/>
  <c r="Z80" i="132"/>
  <c r="Z78" i="132"/>
  <c r="Z77" i="132"/>
  <c r="Z76" i="132"/>
  <c r="Z75" i="132"/>
  <c r="Z74" i="132"/>
  <c r="Z73" i="132"/>
  <c r="BM71" i="132"/>
  <c r="Z71" i="132"/>
  <c r="Z70" i="132"/>
  <c r="Z69" i="132"/>
  <c r="Z61" i="132"/>
  <c r="Z60" i="132"/>
  <c r="Z63" i="132"/>
  <c r="Z62" i="132"/>
  <c r="Z59" i="132"/>
  <c r="Z58" i="132"/>
  <c r="Z57" i="132"/>
  <c r="Z56" i="132"/>
  <c r="Z54" i="132"/>
  <c r="Z53" i="132"/>
  <c r="Z51" i="132"/>
  <c r="Z50" i="132"/>
  <c r="Z49" i="132"/>
  <c r="Z48" i="132"/>
  <c r="Z47" i="132"/>
  <c r="Z46" i="132"/>
  <c r="Z45" i="132"/>
  <c r="Z44" i="132"/>
  <c r="Z43" i="132"/>
  <c r="Z42" i="132"/>
  <c r="Z41" i="132"/>
  <c r="Z39" i="132"/>
  <c r="Z38" i="132"/>
  <c r="Z37" i="132"/>
  <c r="Z36" i="132"/>
  <c r="BM33" i="132"/>
  <c r="Z33" i="132"/>
  <c r="Z32" i="132"/>
  <c r="BM30" i="132"/>
  <c r="Z30" i="132" s="1"/>
  <c r="Z29" i="132"/>
  <c r="Z28" i="132"/>
  <c r="Z26" i="132"/>
  <c r="Z25" i="132"/>
  <c r="Z17" i="132"/>
  <c r="Z118" i="132"/>
  <c r="Z16" i="132"/>
  <c r="BM14" i="132"/>
  <c r="Z14" i="132"/>
  <c r="Z13" i="132"/>
  <c r="Z9" i="132"/>
  <c r="Z12" i="132"/>
  <c r="Z8" i="132"/>
  <c r="Z11" i="132"/>
  <c r="Z10" i="132"/>
  <c r="Z7" i="132"/>
  <c r="Y69" i="132"/>
  <c r="Y71" i="132"/>
  <c r="Y54" i="132"/>
  <c r="Y53" i="132"/>
  <c r="Y51" i="132"/>
  <c r="Y32" i="132"/>
  <c r="Y33" i="132"/>
  <c r="Y30" i="132"/>
  <c r="Y16" i="132"/>
  <c r="Y17" i="132" s="1"/>
  <c r="Y13" i="132"/>
  <c r="Y7" i="132"/>
  <c r="Y14" i="132"/>
  <c r="Y107" i="132"/>
  <c r="Y106" i="132"/>
  <c r="Y105" i="132"/>
  <c r="Y104" i="132"/>
  <c r="Y103" i="132"/>
  <c r="Y102" i="132"/>
  <c r="Y101" i="132"/>
  <c r="Y85" i="132"/>
  <c r="Y84" i="132"/>
  <c r="Y83" i="132"/>
  <c r="BN82" i="132"/>
  <c r="BK82" i="132"/>
  <c r="BL82" i="132"/>
  <c r="Y82" i="132"/>
  <c r="Y81" i="132"/>
  <c r="Y80" i="132"/>
  <c r="Y78" i="132"/>
  <c r="Y77" i="132"/>
  <c r="Y76" i="132"/>
  <c r="Y75" i="132"/>
  <c r="Y74" i="132"/>
  <c r="Y73" i="132"/>
  <c r="Y61" i="132"/>
  <c r="Y60" i="132"/>
  <c r="Y63" i="132"/>
  <c r="Y62" i="132"/>
  <c r="Y59" i="132"/>
  <c r="Y58" i="132"/>
  <c r="Y57" i="132"/>
  <c r="Y56" i="132"/>
  <c r="Y48" i="132"/>
  <c r="Y41" i="132"/>
  <c r="Y37" i="132"/>
  <c r="Y36" i="132"/>
  <c r="Y29" i="132"/>
  <c r="Y28" i="132"/>
  <c r="Y26" i="132"/>
  <c r="Y25" i="132"/>
  <c r="Y118" i="132"/>
  <c r="Y9" i="132"/>
  <c r="Y12" i="132"/>
  <c r="Y8" i="132"/>
  <c r="Y11" i="132"/>
  <c r="Y10" i="132"/>
  <c r="X69" i="132"/>
  <c r="X71" i="132" s="1"/>
  <c r="X70" i="132"/>
  <c r="X54" i="132"/>
  <c r="X53" i="132"/>
  <c r="X51" i="132"/>
  <c r="X45" i="132"/>
  <c r="X47" i="132" s="1"/>
  <c r="X32" i="132"/>
  <c r="X33" i="132"/>
  <c r="X30" i="132"/>
  <c r="X16" i="132"/>
  <c r="X17" i="132" s="1"/>
  <c r="X13" i="132"/>
  <c r="X7" i="132"/>
  <c r="X14" i="132"/>
  <c r="X107" i="132"/>
  <c r="X106" i="132"/>
  <c r="X105" i="132"/>
  <c r="X104" i="132"/>
  <c r="X103" i="132"/>
  <c r="X102" i="132"/>
  <c r="X101" i="132"/>
  <c r="X85" i="132"/>
  <c r="X84" i="132"/>
  <c r="X83" i="132"/>
  <c r="BI82" i="132"/>
  <c r="X82" i="132" s="1"/>
  <c r="X81" i="132"/>
  <c r="X80" i="132"/>
  <c r="X78" i="132"/>
  <c r="X77" i="132"/>
  <c r="X76" i="132"/>
  <c r="X75" i="132"/>
  <c r="X74" i="132"/>
  <c r="X73" i="132"/>
  <c r="X61" i="132"/>
  <c r="X60" i="132"/>
  <c r="X63" i="132"/>
  <c r="X62" i="132"/>
  <c r="X59" i="132"/>
  <c r="X58" i="132"/>
  <c r="X57" i="132"/>
  <c r="X56" i="132"/>
  <c r="X48" i="132"/>
  <c r="X41" i="132"/>
  <c r="X37" i="132"/>
  <c r="X36" i="132"/>
  <c r="X29" i="132"/>
  <c r="X28" i="132"/>
  <c r="X26" i="132"/>
  <c r="X25" i="132"/>
  <c r="X118" i="132"/>
  <c r="X9" i="132"/>
  <c r="X12" i="132"/>
  <c r="X8" i="132"/>
  <c r="X11" i="132"/>
  <c r="X10" i="132"/>
  <c r="W107" i="132"/>
  <c r="W106" i="132"/>
  <c r="W105" i="132"/>
  <c r="W104" i="132"/>
  <c r="W103" i="132"/>
  <c r="W102" i="132"/>
  <c r="W101" i="132"/>
  <c r="W98" i="132"/>
  <c r="W99" i="132"/>
  <c r="W96" i="132"/>
  <c r="W95" i="132"/>
  <c r="W97" i="132"/>
  <c r="W85" i="132"/>
  <c r="W84" i="132"/>
  <c r="W83" i="132"/>
  <c r="BR82" i="132"/>
  <c r="W82" i="132"/>
  <c r="W81" i="132"/>
  <c r="W80" i="132"/>
  <c r="W78" i="132"/>
  <c r="W77" i="132"/>
  <c r="W76" i="132"/>
  <c r="W75" i="132"/>
  <c r="W74" i="132"/>
  <c r="W73" i="132"/>
  <c r="BR71" i="132"/>
  <c r="W71" i="132"/>
  <c r="W70" i="132"/>
  <c r="W69" i="132"/>
  <c r="W61" i="132"/>
  <c r="W60" i="132"/>
  <c r="W63" i="132"/>
  <c r="W62" i="132"/>
  <c r="W59" i="132"/>
  <c r="W58" i="132"/>
  <c r="W57" i="132"/>
  <c r="W56" i="132"/>
  <c r="W54" i="132"/>
  <c r="W53" i="132"/>
  <c r="W51" i="132"/>
  <c r="W50" i="132"/>
  <c r="W49" i="132"/>
  <c r="W48" i="132"/>
  <c r="W47" i="132"/>
  <c r="W46" i="132"/>
  <c r="W45" i="132"/>
  <c r="W44" i="132"/>
  <c r="W43" i="132"/>
  <c r="W42" i="132"/>
  <c r="W41" i="132"/>
  <c r="W39" i="132"/>
  <c r="W38" i="132"/>
  <c r="W37" i="132"/>
  <c r="W36" i="132"/>
  <c r="BR33" i="132"/>
  <c r="W33" i="132"/>
  <c r="W32" i="132"/>
  <c r="BR30" i="132"/>
  <c r="W30" i="132" s="1"/>
  <c r="W29" i="132"/>
  <c r="W28" i="132"/>
  <c r="W26" i="132"/>
  <c r="W25" i="132"/>
  <c r="W17" i="132"/>
  <c r="W118" i="132"/>
  <c r="W16" i="132"/>
  <c r="BR14" i="132"/>
  <c r="W14" i="132"/>
  <c r="W13" i="132"/>
  <c r="W9" i="132"/>
  <c r="W12" i="132"/>
  <c r="W8" i="132"/>
  <c r="W11" i="132"/>
  <c r="W10" i="132"/>
  <c r="W7" i="132"/>
  <c r="P85" i="132"/>
  <c r="P84" i="132"/>
  <c r="P83" i="132"/>
  <c r="V69" i="132"/>
  <c r="V71" i="132" s="1"/>
  <c r="V70" i="132"/>
  <c r="V53" i="132"/>
  <c r="V32" i="132"/>
  <c r="V33" i="132"/>
  <c r="V30" i="132"/>
  <c r="V16" i="132"/>
  <c r="V17" i="132" s="1"/>
  <c r="V13" i="132"/>
  <c r="V7" i="132"/>
  <c r="V14" i="132"/>
  <c r="V107" i="132"/>
  <c r="V106" i="132"/>
  <c r="V105" i="132"/>
  <c r="V104" i="132"/>
  <c r="V103" i="132"/>
  <c r="V102" i="132"/>
  <c r="V101" i="132"/>
  <c r="V85" i="132"/>
  <c r="V84" i="132"/>
  <c r="V83" i="132"/>
  <c r="BG82" i="132"/>
  <c r="V82" i="132" s="1"/>
  <c r="V81" i="132"/>
  <c r="V80" i="132"/>
  <c r="V78" i="132"/>
  <c r="V76" i="132"/>
  <c r="V75" i="132"/>
  <c r="V74" i="132"/>
  <c r="V73" i="132"/>
  <c r="V61" i="132"/>
  <c r="V60" i="132"/>
  <c r="V63" i="132"/>
  <c r="V62" i="132"/>
  <c r="V59" i="132"/>
  <c r="V58" i="132"/>
  <c r="V57" i="132"/>
  <c r="V56" i="132"/>
  <c r="V49" i="132"/>
  <c r="V48" i="132"/>
  <c r="V43" i="132"/>
  <c r="V41" i="132"/>
  <c r="V39" i="132"/>
  <c r="V38" i="132"/>
  <c r="V37" i="132"/>
  <c r="V36" i="132"/>
  <c r="V29" i="132"/>
  <c r="V28" i="132"/>
  <c r="V26" i="132"/>
  <c r="V25" i="132"/>
  <c r="V118" i="132"/>
  <c r="V9" i="132"/>
  <c r="V12" i="132"/>
  <c r="V8" i="132"/>
  <c r="V11" i="132"/>
  <c r="V10" i="132"/>
  <c r="U107" i="132"/>
  <c r="T107" i="132"/>
  <c r="S107" i="132"/>
  <c r="U106" i="132"/>
  <c r="T106" i="132"/>
  <c r="S106" i="132"/>
  <c r="U105" i="132"/>
  <c r="T105" i="132"/>
  <c r="S105" i="132"/>
  <c r="U104" i="132"/>
  <c r="T104" i="132"/>
  <c r="S104" i="132"/>
  <c r="U103" i="132"/>
  <c r="T103" i="132"/>
  <c r="S103" i="132"/>
  <c r="U102" i="132"/>
  <c r="T102" i="132"/>
  <c r="S102" i="132"/>
  <c r="U101" i="132"/>
  <c r="T101" i="132"/>
  <c r="S101" i="132"/>
  <c r="U98" i="132"/>
  <c r="T98" i="132"/>
  <c r="S98" i="132"/>
  <c r="U99" i="132"/>
  <c r="T99" i="132"/>
  <c r="S99" i="132"/>
  <c r="U96" i="132"/>
  <c r="T96" i="132"/>
  <c r="S96" i="132"/>
  <c r="U95" i="132"/>
  <c r="T95" i="132"/>
  <c r="S95" i="132"/>
  <c r="U97" i="132"/>
  <c r="T97" i="132"/>
  <c r="S97" i="132"/>
  <c r="U85" i="132"/>
  <c r="T85" i="132"/>
  <c r="S85" i="132"/>
  <c r="U84" i="132"/>
  <c r="T84" i="132"/>
  <c r="S84" i="132"/>
  <c r="U83" i="132"/>
  <c r="T83" i="132"/>
  <c r="S83" i="132"/>
  <c r="BC82" i="132"/>
  <c r="U82" i="132" s="1"/>
  <c r="BB82" i="132"/>
  <c r="T82" i="132"/>
  <c r="AV82" i="132"/>
  <c r="S82" i="132"/>
  <c r="U81" i="132"/>
  <c r="T81" i="132"/>
  <c r="S81" i="132"/>
  <c r="U80" i="132"/>
  <c r="T80" i="132"/>
  <c r="S80" i="132"/>
  <c r="U78" i="132"/>
  <c r="T78" i="132"/>
  <c r="S78" i="132"/>
  <c r="U77" i="132"/>
  <c r="T77" i="132"/>
  <c r="S77" i="132"/>
  <c r="U76" i="132"/>
  <c r="T76" i="132"/>
  <c r="S76" i="132"/>
  <c r="U75" i="132"/>
  <c r="T75" i="132"/>
  <c r="S75" i="132"/>
  <c r="U74" i="132"/>
  <c r="T74" i="132"/>
  <c r="S74" i="132"/>
  <c r="U73" i="132"/>
  <c r="T73" i="132"/>
  <c r="S73" i="132"/>
  <c r="BC71" i="132"/>
  <c r="U71" i="132" s="1"/>
  <c r="BB71" i="132"/>
  <c r="T71" i="132"/>
  <c r="AV71" i="132"/>
  <c r="S71" i="132"/>
  <c r="U70" i="132"/>
  <c r="T70" i="132"/>
  <c r="S70" i="132"/>
  <c r="U69" i="132"/>
  <c r="T69" i="132"/>
  <c r="S69" i="132"/>
  <c r="U61" i="132"/>
  <c r="T61" i="132"/>
  <c r="S61" i="132"/>
  <c r="U60" i="132"/>
  <c r="T60" i="132"/>
  <c r="S60" i="132"/>
  <c r="U63" i="132"/>
  <c r="T63" i="132"/>
  <c r="S63" i="132"/>
  <c r="U62" i="132"/>
  <c r="T62" i="132"/>
  <c r="S62" i="132"/>
  <c r="U59" i="132"/>
  <c r="T59" i="132"/>
  <c r="S59" i="132"/>
  <c r="U58" i="132"/>
  <c r="T58" i="132"/>
  <c r="S58" i="132"/>
  <c r="U57" i="132"/>
  <c r="T57" i="132"/>
  <c r="S57" i="132"/>
  <c r="U56" i="132"/>
  <c r="T56" i="132"/>
  <c r="S56" i="132"/>
  <c r="U54" i="132"/>
  <c r="T54" i="132"/>
  <c r="S54" i="132"/>
  <c r="U53" i="132"/>
  <c r="T53" i="132"/>
  <c r="S53" i="132"/>
  <c r="T51" i="132"/>
  <c r="S51" i="132"/>
  <c r="U50" i="132"/>
  <c r="T50" i="132"/>
  <c r="S50" i="132"/>
  <c r="U49" i="132"/>
  <c r="T49" i="132"/>
  <c r="S49" i="132"/>
  <c r="U48" i="132"/>
  <c r="T48" i="132"/>
  <c r="S48" i="132"/>
  <c r="U47" i="132"/>
  <c r="T47" i="132"/>
  <c r="S47" i="132"/>
  <c r="U46" i="132"/>
  <c r="T46" i="132"/>
  <c r="S46" i="132"/>
  <c r="U45" i="132"/>
  <c r="T45" i="132"/>
  <c r="S45" i="132"/>
  <c r="U44" i="132"/>
  <c r="T44" i="132"/>
  <c r="S44" i="132"/>
  <c r="U43" i="132"/>
  <c r="T43" i="132"/>
  <c r="S43" i="132"/>
  <c r="U42" i="132"/>
  <c r="T42" i="132"/>
  <c r="S42" i="132"/>
  <c r="U41" i="132"/>
  <c r="T41" i="132"/>
  <c r="S41" i="132"/>
  <c r="U39" i="132"/>
  <c r="T39" i="132"/>
  <c r="S39" i="132"/>
  <c r="U38" i="132"/>
  <c r="T38" i="132"/>
  <c r="S38" i="132"/>
  <c r="U37" i="132"/>
  <c r="T37" i="132"/>
  <c r="S37" i="132"/>
  <c r="U36" i="132"/>
  <c r="T36" i="132"/>
  <c r="S36" i="132"/>
  <c r="BC33" i="132"/>
  <c r="U33" i="132"/>
  <c r="BB33" i="132"/>
  <c r="T33" i="132"/>
  <c r="AV33" i="132"/>
  <c r="S33" i="132" s="1"/>
  <c r="U32" i="132"/>
  <c r="T32" i="132"/>
  <c r="S32" i="132"/>
  <c r="BC30" i="132"/>
  <c r="U30" i="132" s="1"/>
  <c r="BB30" i="132"/>
  <c r="T30" i="132"/>
  <c r="AV30" i="132"/>
  <c r="S30" i="132" s="1"/>
  <c r="U29" i="132"/>
  <c r="T29" i="132"/>
  <c r="S29" i="132"/>
  <c r="U28" i="132"/>
  <c r="T28" i="132"/>
  <c r="S28" i="132"/>
  <c r="U26" i="132"/>
  <c r="T26" i="132"/>
  <c r="S26" i="132"/>
  <c r="U25" i="132"/>
  <c r="T25" i="132"/>
  <c r="S25" i="132"/>
  <c r="U17" i="132"/>
  <c r="T17" i="132"/>
  <c r="S17" i="132"/>
  <c r="U118" i="132"/>
  <c r="T118" i="132"/>
  <c r="S118" i="132"/>
  <c r="U16" i="132"/>
  <c r="T16" i="132"/>
  <c r="S16" i="132"/>
  <c r="BC14" i="132"/>
  <c r="U14" i="132"/>
  <c r="BB14" i="132"/>
  <c r="T14" i="132" s="1"/>
  <c r="AV14" i="132"/>
  <c r="S14" i="132"/>
  <c r="U13" i="132"/>
  <c r="T13" i="132"/>
  <c r="S13" i="132"/>
  <c r="U9" i="132"/>
  <c r="T9" i="132"/>
  <c r="S9" i="132"/>
  <c r="U12" i="132"/>
  <c r="T12" i="132"/>
  <c r="S12" i="132"/>
  <c r="U8" i="132"/>
  <c r="T8" i="132"/>
  <c r="S8" i="132"/>
  <c r="U11" i="132"/>
  <c r="T11" i="132"/>
  <c r="S11" i="132"/>
  <c r="U10" i="132"/>
  <c r="T10" i="132"/>
  <c r="S10" i="132"/>
  <c r="U7" i="132"/>
  <c r="T7" i="132"/>
  <c r="S7" i="132"/>
  <c r="R71" i="132"/>
  <c r="R54" i="132"/>
  <c r="R53" i="132"/>
  <c r="R51" i="132"/>
  <c r="R33" i="132"/>
  <c r="R30" i="132"/>
  <c r="R14" i="132"/>
  <c r="Q107" i="132"/>
  <c r="Q106" i="132"/>
  <c r="Q105" i="132"/>
  <c r="Q104" i="132"/>
  <c r="Q103" i="132"/>
  <c r="Q102" i="132"/>
  <c r="Q101" i="132"/>
  <c r="Q98" i="132"/>
  <c r="Q99" i="132"/>
  <c r="Q96" i="132"/>
  <c r="Q95" i="132"/>
  <c r="Q97" i="132"/>
  <c r="Q85" i="132"/>
  <c r="Q84" i="132"/>
  <c r="Q83" i="132"/>
  <c r="AU82" i="132"/>
  <c r="Q82" i="132"/>
  <c r="Q81" i="132"/>
  <c r="Q80" i="132"/>
  <c r="Q78" i="132"/>
  <c r="Q77" i="132"/>
  <c r="Q76" i="132"/>
  <c r="Q75" i="132"/>
  <c r="Q74" i="132"/>
  <c r="Q73" i="132"/>
  <c r="AU71" i="132"/>
  <c r="Q71" i="132"/>
  <c r="Q70" i="132"/>
  <c r="Q69" i="132"/>
  <c r="Q61" i="132"/>
  <c r="Q60" i="132"/>
  <c r="Q63" i="132"/>
  <c r="Q62" i="132"/>
  <c r="Q59" i="132"/>
  <c r="Q58" i="132"/>
  <c r="Q57" i="132"/>
  <c r="Q56" i="132"/>
  <c r="Q54" i="132"/>
  <c r="Q53" i="132"/>
  <c r="Q51" i="132"/>
  <c r="Q50" i="132"/>
  <c r="Q49" i="132"/>
  <c r="Q48" i="132"/>
  <c r="Q47" i="132"/>
  <c r="Q46" i="132"/>
  <c r="Q45" i="132"/>
  <c r="Q44" i="132"/>
  <c r="Q43" i="132"/>
  <c r="Q42" i="132"/>
  <c r="Q41" i="132"/>
  <c r="Q39" i="132"/>
  <c r="Q38" i="132"/>
  <c r="Q37" i="132"/>
  <c r="Q36" i="132"/>
  <c r="AU33" i="132"/>
  <c r="Q33" i="132" s="1"/>
  <c r="Q32" i="132"/>
  <c r="AU30" i="132"/>
  <c r="Q30" i="132"/>
  <c r="Q29" i="132"/>
  <c r="Q28" i="132"/>
  <c r="Q26" i="132"/>
  <c r="Q25" i="132"/>
  <c r="Q22" i="132"/>
  <c r="Q17" i="132"/>
  <c r="Q118" i="132"/>
  <c r="Q16" i="132"/>
  <c r="AU14" i="132"/>
  <c r="Q14" i="132"/>
  <c r="Q13" i="132"/>
  <c r="Q9" i="132"/>
  <c r="Q12" i="132"/>
  <c r="Q8" i="132"/>
  <c r="Q11" i="132"/>
  <c r="Q10" i="132"/>
  <c r="Q7" i="132"/>
  <c r="P81" i="132"/>
  <c r="P80" i="132"/>
  <c r="P69" i="132"/>
  <c r="P71" i="132" s="1"/>
  <c r="P70" i="132"/>
  <c r="P54" i="132"/>
  <c r="P53" i="132"/>
  <c r="P51" i="132"/>
  <c r="P32" i="132"/>
  <c r="P33" i="132" s="1"/>
  <c r="P30" i="132"/>
  <c r="P17" i="132"/>
  <c r="P14" i="132"/>
  <c r="P107" i="132"/>
  <c r="P106" i="132"/>
  <c r="P105" i="132"/>
  <c r="P104" i="132"/>
  <c r="P103" i="132"/>
  <c r="P102" i="132"/>
  <c r="P101" i="132"/>
  <c r="AZ82" i="132"/>
  <c r="BA82" i="132"/>
  <c r="P78" i="132"/>
  <c r="P77" i="132"/>
  <c r="P76" i="132"/>
  <c r="P75" i="132"/>
  <c r="P74" i="132"/>
  <c r="P73" i="132"/>
  <c r="AZ71" i="132"/>
  <c r="BA71" i="132"/>
  <c r="P39" i="132"/>
  <c r="P38" i="132"/>
  <c r="P37" i="132"/>
  <c r="P36" i="132"/>
  <c r="AZ33" i="132"/>
  <c r="BA33" i="132"/>
  <c r="AZ30" i="132"/>
  <c r="BA30" i="132"/>
  <c r="P29" i="132"/>
  <c r="P28" i="132"/>
  <c r="P26" i="132"/>
  <c r="P25" i="132"/>
  <c r="AZ14" i="132"/>
  <c r="O107" i="132"/>
  <c r="O106" i="132"/>
  <c r="O105" i="132"/>
  <c r="O104" i="132"/>
  <c r="O103" i="132"/>
  <c r="O102" i="132"/>
  <c r="O101" i="132"/>
  <c r="O98" i="132"/>
  <c r="O99" i="132"/>
  <c r="O96" i="132"/>
  <c r="O95" i="132"/>
  <c r="O97" i="132"/>
  <c r="O85" i="132"/>
  <c r="O84" i="132"/>
  <c r="O83" i="132"/>
  <c r="BE82" i="132"/>
  <c r="O82" i="132" s="1"/>
  <c r="O81" i="132"/>
  <c r="O80" i="132"/>
  <c r="O78" i="132"/>
  <c r="O77" i="132"/>
  <c r="O76" i="132"/>
  <c r="O75" i="132"/>
  <c r="O74" i="132"/>
  <c r="O73" i="132"/>
  <c r="BE71" i="132"/>
  <c r="O71" i="132" s="1"/>
  <c r="O70" i="132"/>
  <c r="O69" i="132"/>
  <c r="O61" i="132"/>
  <c r="O60" i="132"/>
  <c r="O63" i="132"/>
  <c r="O62" i="132"/>
  <c r="O59" i="132"/>
  <c r="O58" i="132"/>
  <c r="O57" i="132"/>
  <c r="O56" i="132"/>
  <c r="O54" i="132"/>
  <c r="O53" i="132"/>
  <c r="O51" i="132"/>
  <c r="O50" i="132"/>
  <c r="O49" i="132"/>
  <c r="O48" i="132"/>
  <c r="O47" i="132"/>
  <c r="O46" i="132"/>
  <c r="O45" i="132"/>
  <c r="O44" i="132"/>
  <c r="O43" i="132"/>
  <c r="O42" i="132"/>
  <c r="O41" i="132"/>
  <c r="O39" i="132"/>
  <c r="O38" i="132"/>
  <c r="O37" i="132"/>
  <c r="O36" i="132"/>
  <c r="BE33" i="132"/>
  <c r="O33" i="132" s="1"/>
  <c r="O32" i="132"/>
  <c r="BE30" i="132"/>
  <c r="O30" i="132"/>
  <c r="O29" i="132"/>
  <c r="O28" i="132"/>
  <c r="O26" i="132"/>
  <c r="O25" i="132"/>
  <c r="O17" i="132"/>
  <c r="O118" i="132"/>
  <c r="O16" i="132"/>
  <c r="BE14" i="132"/>
  <c r="O14" i="132"/>
  <c r="O13" i="132"/>
  <c r="N107" i="132"/>
  <c r="N106" i="132"/>
  <c r="N105" i="132"/>
  <c r="N104" i="132"/>
  <c r="N103" i="132"/>
  <c r="N102" i="132"/>
  <c r="N101" i="132"/>
  <c r="N98" i="132"/>
  <c r="N99" i="132"/>
  <c r="N96" i="132"/>
  <c r="N95" i="132"/>
  <c r="N97" i="132"/>
  <c r="N85" i="132"/>
  <c r="N84" i="132"/>
  <c r="N83" i="132"/>
  <c r="AW82" i="132"/>
  <c r="N82" i="132" s="1"/>
  <c r="N81" i="132"/>
  <c r="N80" i="132"/>
  <c r="N78" i="132"/>
  <c r="N77" i="132"/>
  <c r="N76" i="132"/>
  <c r="N75" i="132"/>
  <c r="N74" i="132"/>
  <c r="N73" i="132"/>
  <c r="AW71" i="132"/>
  <c r="N71" i="132" s="1"/>
  <c r="N70" i="132"/>
  <c r="N69" i="132"/>
  <c r="N61" i="132"/>
  <c r="N60" i="132"/>
  <c r="N63" i="132"/>
  <c r="N62" i="132"/>
  <c r="N59" i="132"/>
  <c r="N58" i="132"/>
  <c r="N57" i="132"/>
  <c r="N56" i="132"/>
  <c r="N54" i="132"/>
  <c r="N53" i="132"/>
  <c r="N51" i="132"/>
  <c r="N50" i="132"/>
  <c r="N49" i="132"/>
  <c r="N48" i="132"/>
  <c r="N46" i="132"/>
  <c r="N45" i="132"/>
  <c r="N44" i="132"/>
  <c r="N43" i="132"/>
  <c r="N42" i="132"/>
  <c r="N41" i="132"/>
  <c r="N39" i="132"/>
  <c r="N38" i="132"/>
  <c r="N37" i="132"/>
  <c r="N36" i="132"/>
  <c r="AW33" i="132"/>
  <c r="N33" i="132"/>
  <c r="N32" i="132"/>
  <c r="AW30" i="132"/>
  <c r="N30" i="132"/>
  <c r="N29" i="132"/>
  <c r="N28" i="132"/>
  <c r="N26" i="132"/>
  <c r="N25" i="132"/>
  <c r="N17" i="132"/>
  <c r="N118" i="132"/>
  <c r="N16" i="132"/>
  <c r="AW14" i="132"/>
  <c r="N14" i="132" s="1"/>
  <c r="N13" i="132"/>
  <c r="M107" i="132"/>
  <c r="M106" i="132"/>
  <c r="M105" i="132"/>
  <c r="M104" i="132"/>
  <c r="M103" i="132"/>
  <c r="M102" i="132"/>
  <c r="M101" i="132"/>
  <c r="M98" i="132"/>
  <c r="M99" i="132"/>
  <c r="M96" i="132"/>
  <c r="M95" i="132"/>
  <c r="M97" i="132"/>
  <c r="M85" i="132"/>
  <c r="M84" i="132"/>
  <c r="M83" i="132"/>
  <c r="BD82" i="132"/>
  <c r="M82" i="132"/>
  <c r="M81" i="132"/>
  <c r="M80" i="132"/>
  <c r="M78" i="132"/>
  <c r="M77" i="132"/>
  <c r="M76" i="132"/>
  <c r="M75" i="132"/>
  <c r="M74" i="132"/>
  <c r="M73" i="132"/>
  <c r="BD71" i="132"/>
  <c r="M71" i="132"/>
  <c r="M70" i="132"/>
  <c r="M69" i="132"/>
  <c r="M61" i="132"/>
  <c r="M60" i="132"/>
  <c r="M63" i="132"/>
  <c r="M62" i="132"/>
  <c r="M59" i="132"/>
  <c r="M58" i="132"/>
  <c r="M57" i="132"/>
  <c r="M56" i="132"/>
  <c r="M54" i="132"/>
  <c r="M53" i="132"/>
  <c r="M51" i="132"/>
  <c r="M50" i="132"/>
  <c r="M49" i="132"/>
  <c r="M48" i="132"/>
  <c r="M47" i="132"/>
  <c r="M46" i="132"/>
  <c r="M45" i="132"/>
  <c r="M44" i="132"/>
  <c r="M43" i="132"/>
  <c r="M42" i="132"/>
  <c r="M41" i="132"/>
  <c r="M39" i="132"/>
  <c r="M38" i="132"/>
  <c r="M37" i="132"/>
  <c r="M36" i="132"/>
  <c r="BD33" i="132"/>
  <c r="M33" i="132"/>
  <c r="M32" i="132"/>
  <c r="BD30" i="132"/>
  <c r="M30" i="132" s="1"/>
  <c r="M29" i="132"/>
  <c r="M28" i="132"/>
  <c r="M26" i="132"/>
  <c r="M25" i="132"/>
  <c r="M17" i="132"/>
  <c r="M118" i="132"/>
  <c r="M16" i="132"/>
  <c r="BD14" i="132"/>
  <c r="M14" i="132" s="1"/>
  <c r="M13" i="132"/>
  <c r="L107" i="132"/>
  <c r="L106" i="132"/>
  <c r="L105" i="132"/>
  <c r="L104" i="132"/>
  <c r="L103" i="132"/>
  <c r="L102" i="132"/>
  <c r="L101" i="132"/>
  <c r="L98" i="132"/>
  <c r="L99" i="132"/>
  <c r="L96" i="132"/>
  <c r="L95" i="132"/>
  <c r="L97" i="132"/>
  <c r="L85" i="132"/>
  <c r="L84" i="132"/>
  <c r="L83" i="132"/>
  <c r="AY82" i="132"/>
  <c r="L82" i="132"/>
  <c r="L81" i="132"/>
  <c r="L80" i="132"/>
  <c r="L78" i="132"/>
  <c r="L77" i="132"/>
  <c r="L76" i="132"/>
  <c r="L75" i="132"/>
  <c r="L74" i="132"/>
  <c r="L73" i="132"/>
  <c r="AY71" i="132"/>
  <c r="L71" i="132"/>
  <c r="L70" i="132"/>
  <c r="L69" i="132"/>
  <c r="L61" i="132"/>
  <c r="L60" i="132"/>
  <c r="L63" i="132"/>
  <c r="L62" i="132"/>
  <c r="L59" i="132"/>
  <c r="L58" i="132"/>
  <c r="L57" i="132"/>
  <c r="L56" i="132"/>
  <c r="L54" i="132"/>
  <c r="L53" i="132"/>
  <c r="L51" i="132"/>
  <c r="L50" i="132"/>
  <c r="L49" i="132"/>
  <c r="L48" i="132"/>
  <c r="L47" i="132"/>
  <c r="L46" i="132"/>
  <c r="L45" i="132"/>
  <c r="L44" i="132"/>
  <c r="L43" i="132"/>
  <c r="L42" i="132"/>
  <c r="L41" i="132"/>
  <c r="L39" i="132"/>
  <c r="L38" i="132"/>
  <c r="L37" i="132"/>
  <c r="L36" i="132"/>
  <c r="AY33" i="132"/>
  <c r="L33" i="132"/>
  <c r="L32" i="132"/>
  <c r="AY30" i="132"/>
  <c r="L30" i="132" s="1"/>
  <c r="L29" i="132"/>
  <c r="L28" i="132"/>
  <c r="L26" i="132"/>
  <c r="L25" i="132"/>
  <c r="L17" i="132"/>
  <c r="L118" i="132"/>
  <c r="L16" i="132"/>
  <c r="AY14" i="132"/>
  <c r="L14" i="132"/>
  <c r="L13" i="132"/>
  <c r="K107" i="132"/>
  <c r="K106" i="132"/>
  <c r="K105" i="132"/>
  <c r="K104" i="132"/>
  <c r="K103" i="132"/>
  <c r="K102" i="132"/>
  <c r="K101" i="132"/>
  <c r="K98" i="132"/>
  <c r="K99" i="132"/>
  <c r="K96" i="132"/>
  <c r="K95" i="132"/>
  <c r="K97" i="132"/>
  <c r="K85" i="132"/>
  <c r="K84" i="132"/>
  <c r="K83" i="132"/>
  <c r="BF82" i="132"/>
  <c r="K82" i="132"/>
  <c r="K81" i="132"/>
  <c r="K80" i="132"/>
  <c r="K78" i="132"/>
  <c r="K77" i="132"/>
  <c r="K76" i="132"/>
  <c r="K75" i="132"/>
  <c r="K74" i="132"/>
  <c r="K73" i="132"/>
  <c r="BF71" i="132"/>
  <c r="K71" i="132"/>
  <c r="K70" i="132"/>
  <c r="K69" i="132"/>
  <c r="K61" i="132"/>
  <c r="K60" i="132"/>
  <c r="K63" i="132"/>
  <c r="K62" i="132"/>
  <c r="K59" i="132"/>
  <c r="K58" i="132"/>
  <c r="K57" i="132"/>
  <c r="K56" i="132"/>
  <c r="K54" i="132"/>
  <c r="K53" i="132"/>
  <c r="K51" i="132"/>
  <c r="K50" i="132"/>
  <c r="K49" i="132"/>
  <c r="K48" i="132"/>
  <c r="K47" i="132"/>
  <c r="K46" i="132"/>
  <c r="K45" i="132"/>
  <c r="K44" i="132"/>
  <c r="K43" i="132"/>
  <c r="K42" i="132"/>
  <c r="K41" i="132"/>
  <c r="K39" i="132"/>
  <c r="K38" i="132"/>
  <c r="K37" i="132"/>
  <c r="K36" i="132"/>
  <c r="BF33" i="132"/>
  <c r="K33" i="132" s="1"/>
  <c r="K32" i="132"/>
  <c r="BF30" i="132"/>
  <c r="K30" i="132"/>
  <c r="K29" i="132"/>
  <c r="K28" i="132"/>
  <c r="K26" i="132"/>
  <c r="K25" i="132"/>
  <c r="K17" i="132"/>
  <c r="K118" i="132"/>
  <c r="K16" i="132"/>
  <c r="BF14" i="132"/>
  <c r="K14" i="132"/>
  <c r="K13" i="132"/>
  <c r="CL54" i="132"/>
  <c r="I54" i="132"/>
  <c r="H54" i="132"/>
  <c r="G54" i="132"/>
  <c r="F54" i="132"/>
  <c r="F82" i="132"/>
  <c r="G82" i="132"/>
  <c r="H82" i="132"/>
  <c r="I82" i="132"/>
  <c r="CL82" i="132"/>
  <c r="AX71" i="132"/>
  <c r="BG71" i="132"/>
  <c r="BJ71" i="132"/>
  <c r="BH71" i="132"/>
  <c r="BI71" i="132"/>
  <c r="BN71" i="132"/>
  <c r="BQ71" i="132"/>
  <c r="BS71" i="132"/>
  <c r="BT71" i="132"/>
  <c r="CG71" i="132"/>
  <c r="F71" i="132"/>
  <c r="G71" i="132"/>
  <c r="H71" i="132"/>
  <c r="I71" i="132"/>
  <c r="CL71" i="132"/>
  <c r="F51" i="132"/>
  <c r="G51" i="132"/>
  <c r="H51" i="132"/>
  <c r="I51" i="132"/>
  <c r="AX33" i="132"/>
  <c r="BG33" i="132"/>
  <c r="BJ33" i="132"/>
  <c r="BH33" i="132"/>
  <c r="BI33" i="132"/>
  <c r="BK33" i="132"/>
  <c r="BL33" i="132"/>
  <c r="BN33" i="132"/>
  <c r="BO33" i="132"/>
  <c r="BQ33" i="132"/>
  <c r="BS33" i="132"/>
  <c r="BT33" i="132"/>
  <c r="CF33" i="132"/>
  <c r="CG33" i="132"/>
  <c r="F33" i="132"/>
  <c r="G33" i="132"/>
  <c r="H33" i="132"/>
  <c r="I33" i="132"/>
  <c r="CL33" i="132"/>
  <c r="BG30" i="132"/>
  <c r="BJ30" i="132"/>
  <c r="BH30" i="132"/>
  <c r="BI30" i="132"/>
  <c r="BK30" i="132"/>
  <c r="BL30" i="132"/>
  <c r="BN30" i="132"/>
  <c r="BO30" i="132"/>
  <c r="BQ30" i="132"/>
  <c r="BS30" i="132"/>
  <c r="BT30" i="132"/>
  <c r="CF30" i="132"/>
  <c r="CG30" i="132"/>
  <c r="F30" i="132"/>
  <c r="G30" i="132"/>
  <c r="H30" i="132"/>
  <c r="I30" i="132"/>
  <c r="CL30" i="132"/>
  <c r="AX30" i="132"/>
  <c r="AX14" i="132"/>
  <c r="BG14" i="132"/>
  <c r="BJ14" i="132"/>
  <c r="BH14" i="132"/>
  <c r="BI14" i="132"/>
  <c r="BK14" i="132"/>
  <c r="BL14" i="132"/>
  <c r="BN14" i="132"/>
  <c r="BO14" i="132"/>
  <c r="BQ14" i="132"/>
  <c r="BS14" i="132"/>
  <c r="BT14" i="132"/>
  <c r="CF14" i="132"/>
  <c r="F14" i="132"/>
  <c r="G14" i="132"/>
  <c r="H14" i="132"/>
  <c r="I14" i="132"/>
  <c r="CL14" i="132"/>
  <c r="AU52" i="127"/>
  <c r="Q52" i="132" s="1"/>
  <c r="AS18" i="131"/>
  <c r="AR18" i="131"/>
  <c r="AQ18" i="131"/>
  <c r="AP18" i="131"/>
  <c r="AO18" i="131"/>
  <c r="AN18" i="131"/>
  <c r="AM18" i="131"/>
  <c r="AL18" i="131"/>
  <c r="AK18" i="131"/>
  <c r="AJ18" i="131"/>
  <c r="AI18" i="131"/>
  <c r="AH18" i="131"/>
  <c r="AG18" i="131"/>
  <c r="AF18" i="131"/>
  <c r="AE18" i="131"/>
  <c r="AD18" i="131"/>
  <c r="AC18" i="131"/>
  <c r="AB18" i="131"/>
  <c r="AA18" i="131"/>
  <c r="Z18" i="131"/>
  <c r="Y18" i="131"/>
  <c r="X18" i="131"/>
  <c r="W18" i="131"/>
  <c r="V18" i="131"/>
  <c r="U18" i="131"/>
  <c r="T18" i="131"/>
  <c r="S18" i="131"/>
  <c r="R18" i="131"/>
  <c r="Q18" i="131"/>
  <c r="P18" i="131"/>
  <c r="O18" i="131"/>
  <c r="N18" i="131"/>
  <c r="M18" i="131"/>
  <c r="L18" i="131"/>
  <c r="K18" i="131"/>
  <c r="K19" i="131"/>
  <c r="L19" i="131"/>
  <c r="M19" i="131"/>
  <c r="N19" i="131"/>
  <c r="O19" i="131"/>
  <c r="P19" i="131"/>
  <c r="Q19" i="131"/>
  <c r="R19" i="131"/>
  <c r="S19" i="131"/>
  <c r="T19" i="131"/>
  <c r="U19" i="131"/>
  <c r="V19" i="131"/>
  <c r="W19" i="131"/>
  <c r="X19" i="131"/>
  <c r="Y19" i="131"/>
  <c r="Z19" i="131"/>
  <c r="AA19" i="131"/>
  <c r="AB19" i="131"/>
  <c r="AC19" i="131"/>
  <c r="AD19" i="131"/>
  <c r="AE19" i="131"/>
  <c r="AF19" i="131"/>
  <c r="AG19" i="131"/>
  <c r="AH19" i="131"/>
  <c r="AI19" i="131"/>
  <c r="AJ19" i="131"/>
  <c r="AK19" i="131"/>
  <c r="AL19" i="131"/>
  <c r="AM19" i="131"/>
  <c r="AN19" i="131"/>
  <c r="AO19" i="131"/>
  <c r="AP19" i="131"/>
  <c r="AQ19" i="131"/>
  <c r="AR19" i="131"/>
  <c r="AS19" i="131"/>
  <c r="A72" i="131"/>
  <c r="A73" i="131"/>
  <c r="A74" i="131"/>
  <c r="A75" i="131"/>
  <c r="A76" i="131"/>
  <c r="A77" i="131"/>
  <c r="A78" i="131"/>
  <c r="A79" i="131"/>
  <c r="A80" i="131"/>
  <c r="A81" i="131"/>
  <c r="A82" i="131"/>
  <c r="A83" i="131"/>
  <c r="A84" i="131"/>
  <c r="A85" i="131"/>
  <c r="A86" i="131"/>
  <c r="A87" i="131"/>
  <c r="A88" i="131"/>
  <c r="A89" i="131"/>
  <c r="A90" i="131"/>
  <c r="A91" i="131"/>
  <c r="A92" i="131"/>
  <c r="A93" i="131"/>
  <c r="A94" i="131"/>
  <c r="A95" i="131"/>
  <c r="A96" i="131"/>
  <c r="A97" i="131"/>
  <c r="A98" i="131"/>
  <c r="A99" i="131"/>
  <c r="A100" i="131"/>
  <c r="A101" i="131"/>
  <c r="A102" i="131"/>
  <c r="A103" i="131"/>
  <c r="A104" i="131"/>
  <c r="A105" i="131"/>
  <c r="A106" i="131"/>
  <c r="A107" i="131"/>
  <c r="A50" i="131"/>
  <c r="A51" i="131"/>
  <c r="A52" i="131"/>
  <c r="A53" i="131"/>
  <c r="A54" i="131"/>
  <c r="A55" i="131"/>
  <c r="A56" i="131"/>
  <c r="A57" i="131"/>
  <c r="A58" i="131"/>
  <c r="A59" i="131"/>
  <c r="A60" i="131"/>
  <c r="A61" i="131"/>
  <c r="A62" i="131"/>
  <c r="A63" i="131"/>
  <c r="A64" i="131"/>
  <c r="A65" i="131"/>
  <c r="A66" i="131"/>
  <c r="A67" i="131"/>
  <c r="A68" i="131"/>
  <c r="A69" i="131"/>
  <c r="A70" i="131"/>
  <c r="A71" i="131"/>
  <c r="A25" i="131"/>
  <c r="A26" i="131"/>
  <c r="A27" i="131"/>
  <c r="A28" i="131"/>
  <c r="A29" i="131"/>
  <c r="A30" i="131"/>
  <c r="A31" i="131"/>
  <c r="A32" i="131"/>
  <c r="A33" i="131"/>
  <c r="A34" i="131"/>
  <c r="A35" i="131"/>
  <c r="A36" i="131"/>
  <c r="A37" i="131"/>
  <c r="A38" i="131"/>
  <c r="A39" i="131"/>
  <c r="A40" i="131"/>
  <c r="A41" i="131"/>
  <c r="A42" i="131"/>
  <c r="A43" i="131"/>
  <c r="A44" i="131"/>
  <c r="A45" i="131"/>
  <c r="A46" i="131"/>
  <c r="A47" i="131"/>
  <c r="A48" i="131"/>
  <c r="A49" i="131"/>
  <c r="A21" i="131"/>
  <c r="A22" i="131"/>
  <c r="A23" i="131"/>
  <c r="A24" i="131"/>
  <c r="A18" i="131"/>
  <c r="A19" i="131"/>
  <c r="A20" i="131"/>
  <c r="A17" i="131"/>
  <c r="A16" i="131"/>
  <c r="A15" i="131"/>
  <c r="AS67" i="131"/>
  <c r="AR67" i="131"/>
  <c r="AQ67" i="131"/>
  <c r="AP67" i="131"/>
  <c r="AO67" i="131"/>
  <c r="CJ67" i="131"/>
  <c r="AN67" i="131" s="1"/>
  <c r="AM67" i="131"/>
  <c r="AL67" i="131"/>
  <c r="AK67" i="131"/>
  <c r="AJ67" i="131"/>
  <c r="AI67" i="131"/>
  <c r="AH67" i="131"/>
  <c r="AG67" i="131"/>
  <c r="AF67" i="131"/>
  <c r="BT67" i="131"/>
  <c r="AE67" i="131" s="1"/>
  <c r="AD67" i="131"/>
  <c r="AC67" i="131"/>
  <c r="AB67" i="131"/>
  <c r="AA67" i="131"/>
  <c r="Z67" i="131"/>
  <c r="Y67" i="131"/>
  <c r="X67" i="131"/>
  <c r="W67" i="131"/>
  <c r="V67" i="131"/>
  <c r="U67" i="131"/>
  <c r="T67" i="131"/>
  <c r="S67" i="131"/>
  <c r="R67" i="131"/>
  <c r="Q67" i="131"/>
  <c r="P67" i="131"/>
  <c r="O67" i="131"/>
  <c r="N67" i="131"/>
  <c r="M67" i="131"/>
  <c r="L67" i="131"/>
  <c r="K67" i="131"/>
  <c r="CG66" i="131"/>
  <c r="AS66" i="131"/>
  <c r="CI66" i="131"/>
  <c r="AR66" i="131" s="1"/>
  <c r="CK66" i="131"/>
  <c r="AQ66" i="131"/>
  <c r="CD66" i="131"/>
  <c r="AP66" i="131" s="1"/>
  <c r="CC66" i="131"/>
  <c r="AO66" i="131" s="1"/>
  <c r="CJ66" i="131"/>
  <c r="AN66" i="131"/>
  <c r="CH66" i="131"/>
  <c r="AM66" i="131" s="1"/>
  <c r="CE66" i="131"/>
  <c r="AL66" i="131"/>
  <c r="CB66" i="131"/>
  <c r="AK66" i="131"/>
  <c r="BY66" i="131"/>
  <c r="AJ66" i="131" s="1"/>
  <c r="BW66" i="131"/>
  <c r="AI66" i="131"/>
  <c r="BZ66" i="131"/>
  <c r="AH66" i="131" s="1"/>
  <c r="BV66" i="131"/>
  <c r="AG66" i="131"/>
  <c r="CA66" i="131"/>
  <c r="AF66" i="131" s="1"/>
  <c r="BT66" i="131"/>
  <c r="AE66" i="131" s="1"/>
  <c r="BU66" i="131"/>
  <c r="AD66" i="131"/>
  <c r="BX66" i="131"/>
  <c r="AC66" i="131" s="1"/>
  <c r="BP66" i="131"/>
  <c r="AB66" i="131" s="1"/>
  <c r="BQ66" i="131"/>
  <c r="G66" i="131" s="1"/>
  <c r="AA66" i="131"/>
  <c r="Z66" i="131"/>
  <c r="Y66" i="131"/>
  <c r="X66" i="131"/>
  <c r="BR66" i="131"/>
  <c r="W66" i="131"/>
  <c r="BJ66" i="131"/>
  <c r="V66" i="131" s="1"/>
  <c r="U66" i="131"/>
  <c r="T66" i="131"/>
  <c r="AV66" i="131"/>
  <c r="R66" i="131"/>
  <c r="Q66" i="131"/>
  <c r="BA66" i="131"/>
  <c r="P66" i="131" s="1"/>
  <c r="O66" i="131"/>
  <c r="AW66" i="131"/>
  <c r="N66" i="131" s="1"/>
  <c r="M66" i="131"/>
  <c r="L66" i="131"/>
  <c r="BF66" i="131"/>
  <c r="K66" i="131" s="1"/>
  <c r="F67" i="131"/>
  <c r="G67" i="131"/>
  <c r="H67" i="131"/>
  <c r="I67" i="131"/>
  <c r="F66" i="131"/>
  <c r="CL67" i="131"/>
  <c r="B31" i="131"/>
  <c r="I92" i="131"/>
  <c r="H92" i="131"/>
  <c r="F92" i="131"/>
  <c r="G92" i="131"/>
  <c r="I91" i="131"/>
  <c r="H91" i="131"/>
  <c r="G91" i="131"/>
  <c r="F91" i="131"/>
  <c r="I90" i="131"/>
  <c r="H90" i="131"/>
  <c r="G90" i="131"/>
  <c r="F90" i="131"/>
  <c r="I89" i="131"/>
  <c r="H89" i="131"/>
  <c r="G89" i="131"/>
  <c r="F89" i="131"/>
  <c r="BF27" i="131"/>
  <c r="K27" i="131" s="1"/>
  <c r="AY27" i="131"/>
  <c r="L27" i="131"/>
  <c r="BD27" i="131"/>
  <c r="M27" i="131" s="1"/>
  <c r="AW27" i="131"/>
  <c r="N27" i="131" s="1"/>
  <c r="BE27" i="131"/>
  <c r="O27" i="131"/>
  <c r="AZ27" i="131"/>
  <c r="P27" i="131" s="1"/>
  <c r="BA27" i="131"/>
  <c r="AU27" i="131"/>
  <c r="Q27" i="131"/>
  <c r="AT27" i="131"/>
  <c r="R27" i="131" s="1"/>
  <c r="AX27" i="131"/>
  <c r="AV27" i="131"/>
  <c r="S27" i="131"/>
  <c r="BB27" i="131"/>
  <c r="T27" i="131" s="1"/>
  <c r="BC27" i="131"/>
  <c r="U27" i="131"/>
  <c r="BJ27" i="131"/>
  <c r="V27" i="131" s="1"/>
  <c r="BR27" i="131"/>
  <c r="W27" i="131" s="1"/>
  <c r="BI27" i="131"/>
  <c r="X27" i="131"/>
  <c r="BN27" i="131"/>
  <c r="Y27" i="131" s="1"/>
  <c r="BM27" i="131"/>
  <c r="Z27" i="131"/>
  <c r="BQ27" i="131"/>
  <c r="AA27" i="131"/>
  <c r="BP27" i="131"/>
  <c r="AB27" i="131" s="1"/>
  <c r="BX27" i="131"/>
  <c r="AC27" i="131"/>
  <c r="BU27" i="131"/>
  <c r="AD27" i="131" s="1"/>
  <c r="BT27" i="131"/>
  <c r="AE27" i="131"/>
  <c r="CA27" i="131"/>
  <c r="AF27" i="131"/>
  <c r="BV27" i="131"/>
  <c r="AG27" i="131" s="1"/>
  <c r="BZ27" i="131"/>
  <c r="AH27" i="131"/>
  <c r="BW27" i="131"/>
  <c r="AI27" i="131" s="1"/>
  <c r="BY27" i="131"/>
  <c r="AJ27" i="131"/>
  <c r="CB27" i="131"/>
  <c r="AK27" i="131" s="1"/>
  <c r="CE27" i="131"/>
  <c r="AL27" i="131" s="1"/>
  <c r="CH27" i="131"/>
  <c r="AM27" i="131"/>
  <c r="CJ27" i="131"/>
  <c r="AN27" i="131" s="1"/>
  <c r="CC27" i="131"/>
  <c r="AO27" i="131"/>
  <c r="CD27" i="131"/>
  <c r="AP27" i="131"/>
  <c r="CK27" i="131"/>
  <c r="AQ27" i="131" s="1"/>
  <c r="CI27" i="131"/>
  <c r="AR27" i="131"/>
  <c r="CG27" i="131"/>
  <c r="AS27" i="131" s="1"/>
  <c r="G27" i="131"/>
  <c r="G26" i="131"/>
  <c r="G24" i="131"/>
  <c r="G31" i="131" s="1"/>
  <c r="F28" i="131"/>
  <c r="F27" i="131"/>
  <c r="F26" i="131"/>
  <c r="F24" i="131"/>
  <c r="I27" i="131"/>
  <c r="I26" i="131"/>
  <c r="I24" i="131"/>
  <c r="H27" i="131"/>
  <c r="H26" i="131"/>
  <c r="H24" i="131"/>
  <c r="CL27" i="131"/>
  <c r="CL26" i="131"/>
  <c r="CL24" i="131"/>
  <c r="CK26" i="131"/>
  <c r="CK24" i="131"/>
  <c r="CJ26" i="131"/>
  <c r="CJ24" i="131"/>
  <c r="CI26" i="131"/>
  <c r="CI24" i="131"/>
  <c r="CH26" i="131"/>
  <c r="CH24" i="131"/>
  <c r="CH31" i="131" s="1"/>
  <c r="CG26" i="131"/>
  <c r="CG24" i="131"/>
  <c r="CE26" i="131"/>
  <c r="CE24" i="131"/>
  <c r="CE31" i="131" s="1"/>
  <c r="CD26" i="131"/>
  <c r="CD24" i="131"/>
  <c r="CD31" i="131" s="1"/>
  <c r="CC26" i="131"/>
  <c r="CC24" i="131"/>
  <c r="CB26" i="131"/>
  <c r="CB24" i="131"/>
  <c r="CA26" i="131"/>
  <c r="CA24" i="131"/>
  <c r="BZ26" i="131"/>
  <c r="BZ24" i="131"/>
  <c r="BZ31" i="131" s="1"/>
  <c r="BY26" i="131"/>
  <c r="BY24" i="131"/>
  <c r="BY31" i="131" s="1"/>
  <c r="AJ31" i="131" s="1"/>
  <c r="BX26" i="131"/>
  <c r="BX24" i="131"/>
  <c r="BW26" i="131"/>
  <c r="BW24" i="131"/>
  <c r="BV26" i="131"/>
  <c r="BV24" i="131"/>
  <c r="BU26" i="131"/>
  <c r="BU24" i="131"/>
  <c r="BU31" i="131" s="1"/>
  <c r="BT26" i="131"/>
  <c r="BT24" i="131"/>
  <c r="BT31" i="131" s="1"/>
  <c r="BS26" i="131"/>
  <c r="BS24" i="131"/>
  <c r="BR26" i="131"/>
  <c r="BR24" i="131"/>
  <c r="BQ26" i="131"/>
  <c r="BQ24" i="131"/>
  <c r="BP26" i="131"/>
  <c r="BP24" i="131"/>
  <c r="BP31" i="131" s="1"/>
  <c r="BN26" i="131"/>
  <c r="BN24" i="131"/>
  <c r="BN31" i="131" s="1"/>
  <c r="BM26" i="131"/>
  <c r="BM24" i="131"/>
  <c r="BJ26" i="131"/>
  <c r="BJ25" i="131"/>
  <c r="BJ24" i="131"/>
  <c r="BJ31" i="131" s="1"/>
  <c r="BI26" i="131"/>
  <c r="BI24" i="131"/>
  <c r="BG24" i="131"/>
  <c r="BF26" i="131"/>
  <c r="BF24" i="131"/>
  <c r="BE28" i="131"/>
  <c r="BE26" i="131"/>
  <c r="BE24" i="131"/>
  <c r="BE31" i="131" s="1"/>
  <c r="BD26" i="131"/>
  <c r="BD24" i="131"/>
  <c r="BD31" i="131" s="1"/>
  <c r="BC26" i="131"/>
  <c r="BC24" i="131"/>
  <c r="BB26" i="131"/>
  <c r="BB24" i="131"/>
  <c r="BA26" i="131"/>
  <c r="BA24" i="131"/>
  <c r="AZ24" i="131"/>
  <c r="AY26" i="131"/>
  <c r="AY24" i="131"/>
  <c r="AY31" i="131" s="1"/>
  <c r="AX26" i="131"/>
  <c r="AX24" i="131"/>
  <c r="AW26" i="131"/>
  <c r="AW24" i="131"/>
  <c r="AV26" i="131"/>
  <c r="AV24" i="131"/>
  <c r="AU28" i="131"/>
  <c r="AU26" i="131"/>
  <c r="AU24" i="131"/>
  <c r="AU31" i="131" s="1"/>
  <c r="AT24" i="131"/>
  <c r="AT31" i="131" s="1"/>
  <c r="CL53" i="131"/>
  <c r="CK52" i="131"/>
  <c r="CK53" i="131" s="1"/>
  <c r="CJ52" i="131"/>
  <c r="CI52" i="131"/>
  <c r="CI53" i="131" s="1"/>
  <c r="CH52" i="131"/>
  <c r="CH53" i="131"/>
  <c r="AM53" i="131" s="1"/>
  <c r="CG52" i="131"/>
  <c r="CF52" i="131"/>
  <c r="CF53" i="131"/>
  <c r="CE52" i="131"/>
  <c r="AL52" i="131" s="1"/>
  <c r="CE53" i="131"/>
  <c r="AL53" i="131" s="1"/>
  <c r="CD52" i="131"/>
  <c r="CD53" i="131" s="1"/>
  <c r="AP53" i="131" s="1"/>
  <c r="CC52" i="131"/>
  <c r="CC53" i="131"/>
  <c r="CB52" i="131"/>
  <c r="CB53" i="131" s="1"/>
  <c r="CA52" i="131"/>
  <c r="CA53" i="131"/>
  <c r="BZ52" i="131"/>
  <c r="AH52" i="131" s="1"/>
  <c r="BY52" i="131"/>
  <c r="BY53" i="131" s="1"/>
  <c r="BX52" i="131"/>
  <c r="BX53" i="131"/>
  <c r="AC53" i="131" s="1"/>
  <c r="BW52" i="131"/>
  <c r="BV52" i="131"/>
  <c r="BV53" i="131" s="1"/>
  <c r="BU52" i="131"/>
  <c r="AD52" i="131" s="1"/>
  <c r="BU53" i="131"/>
  <c r="BT52" i="131"/>
  <c r="BT53" i="131" s="1"/>
  <c r="BR52" i="131"/>
  <c r="BR53" i="131"/>
  <c r="BQ52" i="131"/>
  <c r="BQ53" i="131" s="1"/>
  <c r="BP52" i="131"/>
  <c r="BP53" i="131" s="1"/>
  <c r="AB53" i="131" s="1"/>
  <c r="BO52" i="131"/>
  <c r="BO53" i="131" s="1"/>
  <c r="BN52" i="131"/>
  <c r="BN53" i="131" s="1"/>
  <c r="BM52" i="131"/>
  <c r="BM53" i="131"/>
  <c r="Z53" i="131" s="1"/>
  <c r="BL52" i="131"/>
  <c r="BK52" i="131"/>
  <c r="BK53" i="131"/>
  <c r="BJ52" i="131"/>
  <c r="BJ53" i="131"/>
  <c r="BI52" i="131"/>
  <c r="BI53" i="131" s="1"/>
  <c r="BH52" i="131"/>
  <c r="BH53" i="131"/>
  <c r="BF52" i="131"/>
  <c r="BF53" i="131" s="1"/>
  <c r="BE52" i="131"/>
  <c r="BE53" i="131" s="1"/>
  <c r="BD52" i="131"/>
  <c r="BC52" i="131"/>
  <c r="BC53" i="131" s="1"/>
  <c r="BB52" i="131"/>
  <c r="BB53" i="131"/>
  <c r="BA52" i="131"/>
  <c r="AZ52" i="131"/>
  <c r="AZ53" i="131"/>
  <c r="AY52" i="131"/>
  <c r="AY53" i="131"/>
  <c r="AX52" i="131"/>
  <c r="AX53" i="131" s="1"/>
  <c r="AW52" i="131"/>
  <c r="AW53" i="131"/>
  <c r="AV52" i="131"/>
  <c r="AU52" i="131"/>
  <c r="AU53" i="131"/>
  <c r="AT52" i="131"/>
  <c r="AT53" i="131" s="1"/>
  <c r="I52" i="131"/>
  <c r="I53" i="131" s="1"/>
  <c r="H52" i="131"/>
  <c r="H53" i="131"/>
  <c r="G52" i="131"/>
  <c r="G53" i="131" s="1"/>
  <c r="F52" i="131"/>
  <c r="F53" i="131" s="1"/>
  <c r="CL31" i="131"/>
  <c r="CK31" i="131"/>
  <c r="CJ31" i="131"/>
  <c r="CI31" i="131"/>
  <c r="CG31" i="131"/>
  <c r="CF31" i="131"/>
  <c r="CC31" i="131"/>
  <c r="CB31" i="131"/>
  <c r="AK31" i="131" s="1"/>
  <c r="CA31" i="131"/>
  <c r="BX31" i="131"/>
  <c r="BW31" i="131"/>
  <c r="BV31" i="131"/>
  <c r="AG31" i="131" s="1"/>
  <c r="BS31" i="131"/>
  <c r="BR31" i="131"/>
  <c r="BQ31" i="131"/>
  <c r="BO31" i="131"/>
  <c r="BM31" i="131"/>
  <c r="Z31" i="131" s="1"/>
  <c r="BL31" i="131"/>
  <c r="Y31" i="131" s="1"/>
  <c r="BK31" i="131"/>
  <c r="BI31" i="131"/>
  <c r="BH31" i="131"/>
  <c r="BG31" i="131"/>
  <c r="BF31" i="131"/>
  <c r="BC31" i="131"/>
  <c r="BB31" i="131"/>
  <c r="BA31" i="131"/>
  <c r="AZ31" i="131"/>
  <c r="AX31" i="131"/>
  <c r="AW31" i="131"/>
  <c r="AV31" i="131"/>
  <c r="I31" i="131"/>
  <c r="H31" i="131"/>
  <c r="F31" i="131"/>
  <c r="I17" i="131"/>
  <c r="H17" i="131"/>
  <c r="G17" i="131"/>
  <c r="CK54" i="131"/>
  <c r="CJ54" i="131"/>
  <c r="CI54" i="131"/>
  <c r="CH54" i="131"/>
  <c r="CG54" i="131"/>
  <c r="CF54" i="131"/>
  <c r="CE54" i="131"/>
  <c r="CD54" i="131"/>
  <c r="CC54" i="131"/>
  <c r="CB54" i="131"/>
  <c r="CA54" i="131"/>
  <c r="BZ54" i="131"/>
  <c r="BY54" i="131"/>
  <c r="BX54" i="131"/>
  <c r="BW54" i="131"/>
  <c r="BV54" i="131"/>
  <c r="BU54" i="131"/>
  <c r="BT54" i="131"/>
  <c r="BS54" i="131"/>
  <c r="BR54" i="131"/>
  <c r="BQ54" i="131"/>
  <c r="BP54" i="131"/>
  <c r="BO54" i="131"/>
  <c r="BN54" i="131"/>
  <c r="BM54" i="131"/>
  <c r="BL54" i="131"/>
  <c r="BK54" i="131"/>
  <c r="BJ54" i="131"/>
  <c r="BI54" i="131"/>
  <c r="BH54" i="131"/>
  <c r="BG54" i="131"/>
  <c r="BF54" i="131"/>
  <c r="BE54" i="131"/>
  <c r="BD54" i="131"/>
  <c r="BC54" i="131"/>
  <c r="BB54" i="131"/>
  <c r="BA54" i="131"/>
  <c r="AZ54" i="131"/>
  <c r="AY54" i="131"/>
  <c r="AX54" i="131"/>
  <c r="AW54" i="131"/>
  <c r="AV54" i="131"/>
  <c r="AT54" i="131"/>
  <c r="AT51" i="131"/>
  <c r="AU54" i="131"/>
  <c r="AQ52" i="131"/>
  <c r="AP52" i="131"/>
  <c r="AO52" i="131"/>
  <c r="AM52" i="131"/>
  <c r="AK52" i="131"/>
  <c r="AJ52" i="131"/>
  <c r="AG52" i="131"/>
  <c r="AF52" i="131"/>
  <c r="BS52" i="131"/>
  <c r="AE52" i="131" s="1"/>
  <c r="AC52" i="131"/>
  <c r="AB52" i="131"/>
  <c r="AA52" i="131"/>
  <c r="AA53" i="131" s="1"/>
  <c r="Z52" i="131"/>
  <c r="W52" i="131"/>
  <c r="V52" i="131"/>
  <c r="U52" i="131"/>
  <c r="T52" i="131"/>
  <c r="R52" i="131"/>
  <c r="O52" i="131"/>
  <c r="N52" i="131"/>
  <c r="L52" i="131"/>
  <c r="C97" i="131"/>
  <c r="C101" i="131"/>
  <c r="AS87" i="131"/>
  <c r="AR87" i="131"/>
  <c r="AQ87" i="131"/>
  <c r="AP87" i="131"/>
  <c r="AO87" i="131"/>
  <c r="AN87" i="131"/>
  <c r="AM87" i="131"/>
  <c r="AL87" i="131"/>
  <c r="AK87" i="131"/>
  <c r="AJ87" i="131"/>
  <c r="AI87" i="131"/>
  <c r="AH87" i="131"/>
  <c r="AG87" i="131"/>
  <c r="AF87" i="131"/>
  <c r="AE87" i="131"/>
  <c r="AD87" i="131"/>
  <c r="AC87" i="131"/>
  <c r="AB87" i="131"/>
  <c r="AA87" i="131"/>
  <c r="Z87" i="131"/>
  <c r="Y87" i="131"/>
  <c r="X87" i="131"/>
  <c r="W87" i="131"/>
  <c r="V87" i="131"/>
  <c r="U87" i="131"/>
  <c r="T87" i="131"/>
  <c r="S87" i="131"/>
  <c r="R87" i="131"/>
  <c r="Q87" i="131"/>
  <c r="P87" i="131"/>
  <c r="O87" i="131"/>
  <c r="N87" i="131"/>
  <c r="M87" i="131"/>
  <c r="L87" i="131"/>
  <c r="K87" i="131"/>
  <c r="AS95" i="131"/>
  <c r="AS96" i="131"/>
  <c r="AS51" i="131" s="1"/>
  <c r="AS98" i="131"/>
  <c r="AS99" i="131"/>
  <c r="AS97" i="131"/>
  <c r="AS70" i="131"/>
  <c r="AS49" i="131"/>
  <c r="AS42" i="131"/>
  <c r="AS44" i="131" s="1"/>
  <c r="AS43" i="131"/>
  <c r="CC51" i="131"/>
  <c r="CD51" i="131"/>
  <c r="AP51" i="131" s="1"/>
  <c r="CE51" i="131"/>
  <c r="CF51" i="131"/>
  <c r="CG51" i="131"/>
  <c r="CH51" i="131"/>
  <c r="CI51" i="131"/>
  <c r="AR51" i="131" s="1"/>
  <c r="CJ51" i="131"/>
  <c r="AN51" i="131" s="1"/>
  <c r="CK51" i="131"/>
  <c r="CL51" i="131"/>
  <c r="BZ51" i="131"/>
  <c r="CA51" i="131"/>
  <c r="AF51" i="131" s="1"/>
  <c r="CB51" i="131"/>
  <c r="AK51" i="131" s="1"/>
  <c r="BY51" i="131"/>
  <c r="AE46" i="131"/>
  <c r="AE39" i="131"/>
  <c r="BR65" i="131"/>
  <c r="AA99" i="131"/>
  <c r="AA98" i="131"/>
  <c r="AA96" i="131"/>
  <c r="AA95" i="131"/>
  <c r="AA97" i="131"/>
  <c r="AA70" i="131"/>
  <c r="AA45" i="131"/>
  <c r="AA47" i="131" s="1"/>
  <c r="AA46" i="131"/>
  <c r="AA43" i="131"/>
  <c r="AA42" i="131"/>
  <c r="AA44" i="131" s="1"/>
  <c r="Y95" i="131"/>
  <c r="Y96" i="131"/>
  <c r="Y98" i="131"/>
  <c r="Y99" i="131"/>
  <c r="Y97" i="131"/>
  <c r="Y70" i="131"/>
  <c r="Y49" i="131"/>
  <c r="Y45" i="131"/>
  <c r="Y47" i="131"/>
  <c r="Y42" i="131"/>
  <c r="Y44" i="131" s="1"/>
  <c r="Y46" i="131"/>
  <c r="Y43" i="131"/>
  <c r="Y39" i="131"/>
  <c r="Y38" i="131"/>
  <c r="BL71" i="131"/>
  <c r="X95" i="131"/>
  <c r="X96" i="131"/>
  <c r="X98" i="131"/>
  <c r="X99" i="131"/>
  <c r="X97" i="131"/>
  <c r="X49" i="131"/>
  <c r="X39" i="131"/>
  <c r="BH82" i="131"/>
  <c r="V45" i="131"/>
  <c r="V47" i="131" s="1"/>
  <c r="BJ82" i="131"/>
  <c r="BE65" i="131"/>
  <c r="F65" i="131"/>
  <c r="CL65" i="131"/>
  <c r="CK65" i="131"/>
  <c r="CJ65" i="131"/>
  <c r="CI65" i="131"/>
  <c r="CH65" i="131"/>
  <c r="CG65" i="131"/>
  <c r="CF65" i="131"/>
  <c r="CE65" i="131"/>
  <c r="CD65" i="131"/>
  <c r="CC65" i="131"/>
  <c r="CB65" i="131"/>
  <c r="CA65" i="131"/>
  <c r="BZ65" i="131"/>
  <c r="BY65" i="131"/>
  <c r="BX65" i="131"/>
  <c r="BW65" i="131"/>
  <c r="BV65" i="131"/>
  <c r="BU65" i="131"/>
  <c r="BT65" i="131"/>
  <c r="BS65" i="131"/>
  <c r="BQ65" i="131"/>
  <c r="BP65" i="131"/>
  <c r="BO65" i="131"/>
  <c r="BN65" i="131"/>
  <c r="BM65" i="131"/>
  <c r="BL65" i="131"/>
  <c r="BK65" i="131"/>
  <c r="BJ65" i="131"/>
  <c r="BI65" i="131"/>
  <c r="BH65" i="131"/>
  <c r="BG65" i="131"/>
  <c r="BF65" i="131"/>
  <c r="BD65" i="131"/>
  <c r="BC65" i="131"/>
  <c r="BB65" i="131"/>
  <c r="BA65" i="131"/>
  <c r="AZ65" i="131"/>
  <c r="AY65" i="131"/>
  <c r="AX65" i="131"/>
  <c r="AW65" i="131"/>
  <c r="AV65" i="131"/>
  <c r="AU65" i="131"/>
  <c r="AT65" i="131"/>
  <c r="AS35" i="131"/>
  <c r="AS93" i="131"/>
  <c r="AS65" i="131" s="1"/>
  <c r="AR35" i="131"/>
  <c r="AR65" i="131" s="1"/>
  <c r="AR93" i="131"/>
  <c r="AQ35" i="131"/>
  <c r="AQ65" i="131" s="1"/>
  <c r="AQ93" i="131"/>
  <c r="AP35" i="131"/>
  <c r="AP93" i="131"/>
  <c r="AP65" i="131"/>
  <c r="AO35" i="131"/>
  <c r="AO65" i="131" s="1"/>
  <c r="AO93" i="131"/>
  <c r="AN35" i="131"/>
  <c r="AN93" i="131"/>
  <c r="AN65" i="131"/>
  <c r="AM35" i="131"/>
  <c r="AM65" i="131" s="1"/>
  <c r="AM93" i="131"/>
  <c r="AL35" i="131"/>
  <c r="AL93" i="131"/>
  <c r="AK35" i="131"/>
  <c r="AK93" i="131"/>
  <c r="AK65" i="131"/>
  <c r="AJ35" i="131"/>
  <c r="AJ65" i="131" s="1"/>
  <c r="AJ93" i="131"/>
  <c r="AI35" i="131"/>
  <c r="AI93" i="131"/>
  <c r="AI65" i="131" s="1"/>
  <c r="AH35" i="131"/>
  <c r="AH65" i="131" s="1"/>
  <c r="AH93" i="131"/>
  <c r="AG35" i="131"/>
  <c r="AG93" i="131"/>
  <c r="AF35" i="131"/>
  <c r="AF93" i="131"/>
  <c r="AF65" i="131"/>
  <c r="AE35" i="131"/>
  <c r="AD35" i="131"/>
  <c r="AD93" i="131"/>
  <c r="AD65" i="131" s="1"/>
  <c r="AC35" i="131"/>
  <c r="AC65" i="131" s="1"/>
  <c r="AC93" i="131"/>
  <c r="AB35" i="131"/>
  <c r="AB65" i="131" s="1"/>
  <c r="AB93" i="131"/>
  <c r="AA35" i="131"/>
  <c r="AA93" i="131" s="1"/>
  <c r="AA65" i="131"/>
  <c r="Z35" i="131"/>
  <c r="Z65" i="131" s="1"/>
  <c r="Z93" i="131"/>
  <c r="Y35" i="131"/>
  <c r="Y93" i="131"/>
  <c r="Y65" i="131"/>
  <c r="X35" i="131"/>
  <c r="X93" i="131" s="1"/>
  <c r="W35" i="131"/>
  <c r="W65" i="131" s="1"/>
  <c r="W93" i="131"/>
  <c r="V35" i="131"/>
  <c r="V93" i="131" s="1"/>
  <c r="V65" i="131"/>
  <c r="U93" i="131"/>
  <c r="U35" i="131"/>
  <c r="U65" i="131" s="1"/>
  <c r="T35" i="131"/>
  <c r="T93" i="131"/>
  <c r="T65" i="131"/>
  <c r="S93" i="131"/>
  <c r="S65" i="131" s="1"/>
  <c r="S35" i="131"/>
  <c r="R35" i="131"/>
  <c r="R93" i="131" s="1"/>
  <c r="Q93" i="131"/>
  <c r="Q35" i="131"/>
  <c r="Q65" i="131"/>
  <c r="P35" i="131"/>
  <c r="O35" i="131"/>
  <c r="O93" i="131"/>
  <c r="O65" i="131"/>
  <c r="N93" i="131"/>
  <c r="N65" i="131" s="1"/>
  <c r="N35" i="131"/>
  <c r="M35" i="131"/>
  <c r="M93" i="131"/>
  <c r="L93" i="131"/>
  <c r="L35" i="131"/>
  <c r="L65" i="131"/>
  <c r="K35" i="131"/>
  <c r="K65" i="131" s="1"/>
  <c r="K93" i="131"/>
  <c r="J65" i="131"/>
  <c r="I65" i="131"/>
  <c r="H65" i="131"/>
  <c r="G65" i="131"/>
  <c r="P99" i="131"/>
  <c r="P98" i="131"/>
  <c r="P96" i="131"/>
  <c r="P51" i="131" s="1"/>
  <c r="P95" i="131"/>
  <c r="P97" i="131"/>
  <c r="P63" i="131"/>
  <c r="P62" i="131"/>
  <c r="P61" i="131"/>
  <c r="P60" i="131"/>
  <c r="P59" i="131"/>
  <c r="P58" i="131"/>
  <c r="P57" i="131"/>
  <c r="P56" i="131"/>
  <c r="P49" i="131"/>
  <c r="P48" i="131"/>
  <c r="P47" i="131"/>
  <c r="P46" i="131"/>
  <c r="P45" i="131"/>
  <c r="P42" i="131"/>
  <c r="P44" i="131" s="1"/>
  <c r="P43" i="131"/>
  <c r="P41" i="131"/>
  <c r="R49" i="131"/>
  <c r="R42" i="131"/>
  <c r="R44" i="131" s="1"/>
  <c r="R43" i="131"/>
  <c r="CG21" i="131"/>
  <c r="CG14" i="131"/>
  <c r="R107" i="131"/>
  <c r="R106" i="131"/>
  <c r="R105" i="131"/>
  <c r="R104" i="131"/>
  <c r="R103" i="131"/>
  <c r="R102" i="131"/>
  <c r="R101" i="131"/>
  <c r="R99" i="131"/>
  <c r="R98" i="131"/>
  <c r="R85" i="131"/>
  <c r="R84" i="131"/>
  <c r="R83" i="131"/>
  <c r="AX82" i="131"/>
  <c r="R82" i="131"/>
  <c r="R81" i="131"/>
  <c r="R80" i="131"/>
  <c r="R78" i="131"/>
  <c r="R77" i="131"/>
  <c r="R76" i="131"/>
  <c r="R75" i="131"/>
  <c r="R74" i="131"/>
  <c r="R73" i="131"/>
  <c r="R70" i="131"/>
  <c r="R69" i="131"/>
  <c r="R63" i="131"/>
  <c r="R62" i="131"/>
  <c r="R61" i="131"/>
  <c r="R60" i="131"/>
  <c r="R59" i="131"/>
  <c r="R58" i="131"/>
  <c r="R57" i="131"/>
  <c r="R56" i="131"/>
  <c r="R48" i="131"/>
  <c r="R23" i="131"/>
  <c r="R32" i="131"/>
  <c r="R33" i="131" s="1"/>
  <c r="R46" i="131"/>
  <c r="R45" i="131"/>
  <c r="R41" i="131"/>
  <c r="R39" i="131"/>
  <c r="R38" i="131"/>
  <c r="R37" i="131"/>
  <c r="R36" i="131"/>
  <c r="R29" i="131"/>
  <c r="R28" i="131"/>
  <c r="R26" i="131"/>
  <c r="R25" i="131"/>
  <c r="R24" i="131"/>
  <c r="R119" i="131"/>
  <c r="R21" i="131" s="1"/>
  <c r="R20" i="131"/>
  <c r="R16" i="131"/>
  <c r="R17" i="131" s="1"/>
  <c r="R118" i="131"/>
  <c r="R9" i="131"/>
  <c r="R10" i="131"/>
  <c r="R11" i="131"/>
  <c r="R12" i="131"/>
  <c r="R13" i="131"/>
  <c r="R8" i="131"/>
  <c r="R7" i="131"/>
  <c r="R14" i="131" s="1"/>
  <c r="F17" i="131"/>
  <c r="AT71" i="131"/>
  <c r="AT33" i="131"/>
  <c r="AT30" i="131"/>
  <c r="AT21" i="131"/>
  <c r="AT14" i="131"/>
  <c r="CL5" i="131"/>
  <c r="CK5" i="131"/>
  <c r="CJ5" i="131"/>
  <c r="CI5" i="131"/>
  <c r="CH5" i="131"/>
  <c r="CG5" i="131"/>
  <c r="CF5" i="131"/>
  <c r="CE5" i="131"/>
  <c r="CD5" i="131"/>
  <c r="CC5" i="131"/>
  <c r="CB5" i="131"/>
  <c r="CA5" i="131"/>
  <c r="BZ5" i="131"/>
  <c r="BY5" i="131"/>
  <c r="BX5" i="131"/>
  <c r="BW5" i="131"/>
  <c r="BV5" i="131"/>
  <c r="BU5" i="131"/>
  <c r="BT5" i="131"/>
  <c r="BS5" i="131"/>
  <c r="BR5" i="131"/>
  <c r="BQ5" i="131"/>
  <c r="BP5" i="131"/>
  <c r="BO5" i="131"/>
  <c r="BN5" i="131"/>
  <c r="BM5" i="131"/>
  <c r="BL5" i="131"/>
  <c r="BK5" i="131"/>
  <c r="BJ5" i="131"/>
  <c r="BI5" i="131"/>
  <c r="BH5" i="131"/>
  <c r="BG5" i="131"/>
  <c r="BF5" i="131"/>
  <c r="BE5" i="131"/>
  <c r="BD5" i="131"/>
  <c r="BC5" i="131"/>
  <c r="BB5" i="131"/>
  <c r="BA5" i="131"/>
  <c r="AZ5" i="131"/>
  <c r="AY5" i="131"/>
  <c r="AX5" i="131"/>
  <c r="AW5" i="131"/>
  <c r="AV5" i="131"/>
  <c r="AU5" i="131"/>
  <c r="AT5" i="131"/>
  <c r="AS5" i="131"/>
  <c r="AR5" i="131"/>
  <c r="AQ5" i="131"/>
  <c r="AP5" i="131"/>
  <c r="AO5" i="131"/>
  <c r="AN5" i="131"/>
  <c r="AM5" i="131"/>
  <c r="AL5" i="131"/>
  <c r="AK5" i="131"/>
  <c r="AJ5" i="131"/>
  <c r="AI5" i="131"/>
  <c r="AH5" i="131"/>
  <c r="AG5" i="131"/>
  <c r="AF5" i="131"/>
  <c r="AE5" i="131"/>
  <c r="AD5" i="131"/>
  <c r="AC5" i="131"/>
  <c r="AB5" i="131"/>
  <c r="AA5" i="131"/>
  <c r="Z5" i="131"/>
  <c r="Y5" i="131"/>
  <c r="X5" i="131"/>
  <c r="W5" i="131"/>
  <c r="V5" i="131"/>
  <c r="U5" i="131"/>
  <c r="T5" i="131"/>
  <c r="S5" i="131"/>
  <c r="R5" i="131"/>
  <c r="Q5" i="131"/>
  <c r="P5" i="131"/>
  <c r="O5" i="131"/>
  <c r="N5" i="131"/>
  <c r="M5" i="131"/>
  <c r="L5" i="131"/>
  <c r="K5" i="131"/>
  <c r="J5" i="131"/>
  <c r="I5" i="131"/>
  <c r="H5" i="131"/>
  <c r="G5" i="131"/>
  <c r="F5" i="131"/>
  <c r="AS39" i="131"/>
  <c r="AA39" i="131"/>
  <c r="AA38" i="131"/>
  <c r="AA49" i="131"/>
  <c r="X46" i="131"/>
  <c r="V46" i="131"/>
  <c r="X42" i="131"/>
  <c r="X44" i="131"/>
  <c r="X43" i="131"/>
  <c r="V42" i="131"/>
  <c r="V44" i="131"/>
  <c r="A6" i="131"/>
  <c r="A7" i="131"/>
  <c r="A8" i="131"/>
  <c r="A9" i="131"/>
  <c r="A10" i="131"/>
  <c r="A11" i="131"/>
  <c r="A12" i="131"/>
  <c r="A13" i="131"/>
  <c r="A14" i="131"/>
  <c r="A5" i="131"/>
  <c r="K7" i="131"/>
  <c r="L7" i="131"/>
  <c r="M7" i="131"/>
  <c r="N7" i="131"/>
  <c r="O7" i="131"/>
  <c r="K8" i="131"/>
  <c r="L8" i="131"/>
  <c r="M8" i="131"/>
  <c r="N8" i="131"/>
  <c r="O8" i="131"/>
  <c r="K9" i="131"/>
  <c r="L9" i="131"/>
  <c r="M9" i="131"/>
  <c r="N9" i="131"/>
  <c r="O9" i="131"/>
  <c r="K10" i="131"/>
  <c r="L10" i="131"/>
  <c r="M10" i="131"/>
  <c r="N10" i="131"/>
  <c r="O10" i="131"/>
  <c r="K11" i="131"/>
  <c r="L11" i="131"/>
  <c r="M11" i="131"/>
  <c r="N11" i="131"/>
  <c r="O11" i="131"/>
  <c r="K12" i="131"/>
  <c r="L12" i="131"/>
  <c r="M12" i="131"/>
  <c r="N12" i="131"/>
  <c r="O12" i="131"/>
  <c r="AS50" i="131"/>
  <c r="AE50" i="131"/>
  <c r="AA50" i="131"/>
  <c r="Y50" i="131"/>
  <c r="X50" i="131"/>
  <c r="V50" i="131"/>
  <c r="P50" i="131"/>
  <c r="CL21" i="131"/>
  <c r="I21" i="131"/>
  <c r="H21" i="131"/>
  <c r="G21" i="131"/>
  <c r="F21" i="131"/>
  <c r="AS20" i="131"/>
  <c r="AS119" i="131"/>
  <c r="AS21" i="131"/>
  <c r="AR119" i="131"/>
  <c r="AR21" i="131" s="1"/>
  <c r="AR20" i="131"/>
  <c r="AQ119" i="131"/>
  <c r="AQ20" i="131"/>
  <c r="AQ21" i="131"/>
  <c r="AP119" i="131"/>
  <c r="AP21" i="131" s="1"/>
  <c r="AP20" i="131"/>
  <c r="AO119" i="131"/>
  <c r="AO20" i="131"/>
  <c r="AO21" i="131"/>
  <c r="AN119" i="131"/>
  <c r="AN20" i="131"/>
  <c r="AN21" i="131"/>
  <c r="AM119" i="131"/>
  <c r="AM20" i="131"/>
  <c r="AL119" i="131"/>
  <c r="AL20" i="131"/>
  <c r="AL21" i="131"/>
  <c r="AK119" i="131"/>
  <c r="AK21" i="131" s="1"/>
  <c r="AK20" i="131"/>
  <c r="AJ119" i="131"/>
  <c r="AJ20" i="131"/>
  <c r="AJ21" i="131"/>
  <c r="AI119" i="131"/>
  <c r="AI20" i="131"/>
  <c r="AI21" i="131"/>
  <c r="AH119" i="131"/>
  <c r="AH20" i="131"/>
  <c r="AG119" i="131"/>
  <c r="AG20" i="131"/>
  <c r="AG21" i="131"/>
  <c r="AF119" i="131"/>
  <c r="AF21" i="131" s="1"/>
  <c r="AF20" i="131"/>
  <c r="AE20" i="131"/>
  <c r="AE119" i="131"/>
  <c r="AE21" i="131"/>
  <c r="AD119" i="131"/>
  <c r="AD20" i="131"/>
  <c r="AD21" i="131"/>
  <c r="AC119" i="131"/>
  <c r="AC20" i="131"/>
  <c r="AB119" i="131"/>
  <c r="AB20" i="131"/>
  <c r="AB21" i="131"/>
  <c r="AA119" i="131"/>
  <c r="AA21" i="131" s="1"/>
  <c r="AA20" i="131"/>
  <c r="Z119" i="131"/>
  <c r="Z20" i="131"/>
  <c r="Z21" i="131"/>
  <c r="Y20" i="131"/>
  <c r="Y119" i="131"/>
  <c r="Y21" i="131"/>
  <c r="X119" i="131"/>
  <c r="X21" i="131" s="1"/>
  <c r="X20" i="131"/>
  <c r="W119" i="131"/>
  <c r="W20" i="131"/>
  <c r="W21" i="131"/>
  <c r="V119" i="131"/>
  <c r="V21" i="131" s="1"/>
  <c r="V20" i="131"/>
  <c r="U119" i="131"/>
  <c r="U20" i="131"/>
  <c r="U21" i="131"/>
  <c r="T119" i="131"/>
  <c r="T20" i="131"/>
  <c r="T21" i="131"/>
  <c r="S119" i="131"/>
  <c r="S21" i="131" s="1"/>
  <c r="S20" i="131"/>
  <c r="Q20" i="131"/>
  <c r="Q21" i="131"/>
  <c r="P20" i="131"/>
  <c r="P119" i="131"/>
  <c r="P21" i="131" s="1"/>
  <c r="O119" i="131"/>
  <c r="O20" i="131"/>
  <c r="O21" i="131"/>
  <c r="N119" i="131"/>
  <c r="N20" i="131"/>
  <c r="N21" i="131"/>
  <c r="M119" i="131"/>
  <c r="M21" i="131" s="1"/>
  <c r="M20" i="131"/>
  <c r="L119" i="131"/>
  <c r="L20" i="131"/>
  <c r="L21" i="131"/>
  <c r="K119" i="131"/>
  <c r="K21" i="131" s="1"/>
  <c r="K20" i="131"/>
  <c r="CK21" i="131"/>
  <c r="CJ21" i="131"/>
  <c r="CI21" i="131"/>
  <c r="CH21" i="131"/>
  <c r="CF21" i="131"/>
  <c r="CE21" i="131"/>
  <c r="CD21" i="131"/>
  <c r="CC21" i="131"/>
  <c r="CB21" i="131"/>
  <c r="CA21" i="131"/>
  <c r="BZ21" i="131"/>
  <c r="BY21" i="131"/>
  <c r="BX21" i="131"/>
  <c r="BW21" i="131"/>
  <c r="BV21" i="131"/>
  <c r="BU21" i="131"/>
  <c r="BT21" i="131"/>
  <c r="BS21" i="131"/>
  <c r="BR21" i="131"/>
  <c r="BQ21" i="131"/>
  <c r="BP21" i="131"/>
  <c r="BO21" i="131"/>
  <c r="BN21" i="131"/>
  <c r="BM21" i="131"/>
  <c r="BL21" i="131"/>
  <c r="BK21" i="131"/>
  <c r="BJ21" i="131"/>
  <c r="BI21" i="131"/>
  <c r="BH21" i="131"/>
  <c r="BG21" i="131"/>
  <c r="BF21" i="131"/>
  <c r="BE21" i="131"/>
  <c r="BD21" i="131"/>
  <c r="BC21" i="131"/>
  <c r="BB21" i="131"/>
  <c r="BA21" i="131"/>
  <c r="AZ21" i="131"/>
  <c r="AY21" i="131"/>
  <c r="AW21" i="131"/>
  <c r="AX21" i="131"/>
  <c r="AV21" i="131"/>
  <c r="AU21" i="131"/>
  <c r="AE99" i="131"/>
  <c r="AE53" i="131" s="1"/>
  <c r="V99" i="131"/>
  <c r="C99" i="131"/>
  <c r="AE98" i="131"/>
  <c r="AE54" i="131" s="1"/>
  <c r="V98" i="131"/>
  <c r="V54" i="131" s="1"/>
  <c r="B54" i="131"/>
  <c r="B53" i="131"/>
  <c r="C96" i="131"/>
  <c r="BS51" i="131"/>
  <c r="BL51" i="131"/>
  <c r="BK51" i="131"/>
  <c r="BJ51" i="131"/>
  <c r="BI51" i="131"/>
  <c r="BH51" i="131"/>
  <c r="BG51" i="131"/>
  <c r="BF51" i="131"/>
  <c r="K51" i="131" s="1"/>
  <c r="BE51" i="131"/>
  <c r="BD51" i="131"/>
  <c r="BC51" i="131"/>
  <c r="BB51" i="131"/>
  <c r="T51" i="131" s="1"/>
  <c r="BA51" i="131"/>
  <c r="AZ51" i="131"/>
  <c r="AY51" i="131"/>
  <c r="AW51" i="131"/>
  <c r="AV51" i="131"/>
  <c r="S51" i="131" s="1"/>
  <c r="AU51" i="131"/>
  <c r="Q51" i="131" s="1"/>
  <c r="AX51" i="131"/>
  <c r="BQ51" i="131"/>
  <c r="BP51" i="131"/>
  <c r="BO51" i="131"/>
  <c r="BN51" i="131"/>
  <c r="BM51" i="131"/>
  <c r="BR51" i="131"/>
  <c r="BT51" i="131"/>
  <c r="BU51" i="131"/>
  <c r="AD51" i="131" s="1"/>
  <c r="BV51" i="131"/>
  <c r="AG51" i="131" s="1"/>
  <c r="BW51" i="131"/>
  <c r="BX51" i="131"/>
  <c r="C51" i="131"/>
  <c r="AE96" i="131"/>
  <c r="V96" i="131"/>
  <c r="R96" i="131"/>
  <c r="AE95" i="131"/>
  <c r="V95" i="131"/>
  <c r="R95" i="131"/>
  <c r="R54" i="131" s="1"/>
  <c r="AE97" i="131"/>
  <c r="V97" i="131"/>
  <c r="R97" i="131"/>
  <c r="AS90" i="131"/>
  <c r="AS91" i="131"/>
  <c r="AS92" i="131"/>
  <c r="AS89" i="131"/>
  <c r="AE90" i="131"/>
  <c r="AE91" i="131"/>
  <c r="AE92" i="131"/>
  <c r="AE89" i="131"/>
  <c r="AA90" i="131"/>
  <c r="AA91" i="131"/>
  <c r="AA92" i="131"/>
  <c r="AA89" i="131"/>
  <c r="Y90" i="131"/>
  <c r="Y91" i="131"/>
  <c r="Y92" i="131"/>
  <c r="Y89" i="131"/>
  <c r="X90" i="131"/>
  <c r="X91" i="131"/>
  <c r="X92" i="131"/>
  <c r="X89" i="131"/>
  <c r="V90" i="131"/>
  <c r="V91" i="131"/>
  <c r="V92" i="131"/>
  <c r="V89" i="131"/>
  <c r="R90" i="131"/>
  <c r="R91" i="131"/>
  <c r="R92" i="131"/>
  <c r="R89" i="131"/>
  <c r="P90" i="131"/>
  <c r="P91" i="131"/>
  <c r="P92" i="131"/>
  <c r="P89" i="131"/>
  <c r="AR92" i="131"/>
  <c r="AQ92" i="131"/>
  <c r="AP92" i="131"/>
  <c r="AO92" i="131"/>
  <c r="AN92" i="131"/>
  <c r="AM92" i="131"/>
  <c r="AL92" i="131"/>
  <c r="AK92" i="131"/>
  <c r="AJ92" i="131"/>
  <c r="AI92" i="131"/>
  <c r="AH92" i="131"/>
  <c r="AG92" i="131"/>
  <c r="AF92" i="131"/>
  <c r="AD92" i="131"/>
  <c r="AC92" i="131"/>
  <c r="AB92" i="131"/>
  <c r="Z92" i="131"/>
  <c r="W92" i="131"/>
  <c r="U92" i="131"/>
  <c r="T92" i="131"/>
  <c r="S92" i="131"/>
  <c r="Q92" i="131"/>
  <c r="O92" i="131"/>
  <c r="N92" i="131"/>
  <c r="M92" i="131"/>
  <c r="L92" i="131"/>
  <c r="K92" i="131"/>
  <c r="AR91" i="131"/>
  <c r="AQ91" i="131"/>
  <c r="AP91" i="131"/>
  <c r="AO91" i="131"/>
  <c r="AN91" i="131"/>
  <c r="AM91" i="131"/>
  <c r="AL91" i="131"/>
  <c r="AK91" i="131"/>
  <c r="AJ91" i="131"/>
  <c r="AI91" i="131"/>
  <c r="AH91" i="131"/>
  <c r="AG91" i="131"/>
  <c r="AF91" i="131"/>
  <c r="AD91" i="131"/>
  <c r="AC91" i="131"/>
  <c r="AB91" i="131"/>
  <c r="Z91" i="131"/>
  <c r="W91" i="131"/>
  <c r="U91" i="131"/>
  <c r="T91" i="131"/>
  <c r="S91" i="131"/>
  <c r="Q91" i="131"/>
  <c r="O91" i="131"/>
  <c r="N91" i="131"/>
  <c r="M91" i="131"/>
  <c r="L91" i="131"/>
  <c r="K91" i="131"/>
  <c r="AR90" i="131"/>
  <c r="AQ90" i="131"/>
  <c r="AP90" i="131"/>
  <c r="AO90" i="131"/>
  <c r="AN90" i="131"/>
  <c r="AM90" i="131"/>
  <c r="AL90" i="131"/>
  <c r="AK90" i="131"/>
  <c r="AJ90" i="131"/>
  <c r="AI90" i="131"/>
  <c r="AH90" i="131"/>
  <c r="AG90" i="131"/>
  <c r="AF90" i="131"/>
  <c r="AD90" i="131"/>
  <c r="AC90" i="131"/>
  <c r="AB90" i="131"/>
  <c r="Z90" i="131"/>
  <c r="W90" i="131"/>
  <c r="U90" i="131"/>
  <c r="T90" i="131"/>
  <c r="S90" i="131"/>
  <c r="Q90" i="131"/>
  <c r="O90" i="131"/>
  <c r="N90" i="131"/>
  <c r="M90" i="131"/>
  <c r="L90" i="131"/>
  <c r="K90" i="131"/>
  <c r="AR89" i="131"/>
  <c r="AQ89" i="131"/>
  <c r="AP89" i="131"/>
  <c r="AO89" i="131"/>
  <c r="AN89" i="131"/>
  <c r="AM89" i="131"/>
  <c r="AL89" i="131"/>
  <c r="AK89" i="131"/>
  <c r="AJ89" i="131"/>
  <c r="AI89" i="131"/>
  <c r="AH89" i="131"/>
  <c r="AG89" i="131"/>
  <c r="AF89" i="131"/>
  <c r="AD89" i="131"/>
  <c r="AC89" i="131"/>
  <c r="AB89" i="131"/>
  <c r="Z89" i="131"/>
  <c r="W89" i="131"/>
  <c r="U89" i="131"/>
  <c r="T89" i="131"/>
  <c r="S89" i="131"/>
  <c r="Q89" i="131"/>
  <c r="O89" i="131"/>
  <c r="N89" i="131"/>
  <c r="M89" i="131"/>
  <c r="L89" i="131"/>
  <c r="K89" i="131"/>
  <c r="CL94" i="131"/>
  <c r="AS94" i="131"/>
  <c r="AR94" i="131"/>
  <c r="AQ94" i="131"/>
  <c r="AP94" i="131"/>
  <c r="AO94" i="131"/>
  <c r="AN94" i="131"/>
  <c r="AM94" i="131"/>
  <c r="AL94" i="131"/>
  <c r="AK94" i="131"/>
  <c r="AJ94" i="131"/>
  <c r="AI94" i="131"/>
  <c r="AH94" i="131"/>
  <c r="AG94" i="131"/>
  <c r="AF94" i="131"/>
  <c r="AE94" i="131"/>
  <c r="AD94" i="131"/>
  <c r="AC94" i="131"/>
  <c r="AB94" i="131"/>
  <c r="AA94" i="131"/>
  <c r="Z94" i="131"/>
  <c r="Y94" i="131"/>
  <c r="X94" i="131"/>
  <c r="W94" i="131"/>
  <c r="V94" i="131"/>
  <c r="U94" i="131"/>
  <c r="T94" i="131"/>
  <c r="S94" i="131"/>
  <c r="R94" i="131"/>
  <c r="Q94" i="131"/>
  <c r="P94" i="131"/>
  <c r="O94" i="131"/>
  <c r="N94" i="131"/>
  <c r="M94" i="131"/>
  <c r="L94" i="131"/>
  <c r="K94" i="131"/>
  <c r="CK94" i="131"/>
  <c r="CJ94" i="131"/>
  <c r="CI94" i="131"/>
  <c r="CH94" i="131"/>
  <c r="CG94" i="131"/>
  <c r="CF94" i="131"/>
  <c r="CE94" i="131"/>
  <c r="CD94" i="131"/>
  <c r="CC94" i="131"/>
  <c r="CB94" i="131"/>
  <c r="CA94" i="131"/>
  <c r="BZ94" i="131"/>
  <c r="BY94" i="131"/>
  <c r="BX94" i="131"/>
  <c r="BW94" i="131"/>
  <c r="BV94" i="131"/>
  <c r="BU94" i="131"/>
  <c r="BT94" i="131"/>
  <c r="BS94" i="131"/>
  <c r="BR94" i="131"/>
  <c r="BP94" i="131"/>
  <c r="BQ94" i="131"/>
  <c r="BO94" i="131"/>
  <c r="BM94" i="131"/>
  <c r="BN94" i="131"/>
  <c r="BL94" i="131"/>
  <c r="BK94" i="131"/>
  <c r="BI94" i="131"/>
  <c r="BH94" i="131"/>
  <c r="BJ94" i="131"/>
  <c r="BG94" i="131"/>
  <c r="BF94" i="131"/>
  <c r="BE94" i="131"/>
  <c r="BD94" i="131"/>
  <c r="BC94" i="131"/>
  <c r="BB94" i="131"/>
  <c r="BA94" i="131"/>
  <c r="AZ94" i="131"/>
  <c r="AY94" i="131"/>
  <c r="AW94" i="131"/>
  <c r="AV94" i="131"/>
  <c r="AU94" i="131"/>
  <c r="AX94" i="131"/>
  <c r="AS69" i="131"/>
  <c r="AS71" i="131"/>
  <c r="AS54" i="131"/>
  <c r="AS45" i="131"/>
  <c r="AS47" i="131"/>
  <c r="AS23" i="131"/>
  <c r="AS31" i="131" s="1"/>
  <c r="AS32" i="131"/>
  <c r="AS33" i="131" s="1"/>
  <c r="AS16" i="131"/>
  <c r="AS17" i="131"/>
  <c r="AS13" i="131"/>
  <c r="AS7" i="131"/>
  <c r="AS14" i="131"/>
  <c r="AS107" i="131"/>
  <c r="AR107" i="131"/>
  <c r="AQ107" i="131"/>
  <c r="AS106" i="131"/>
  <c r="AR106" i="131"/>
  <c r="AQ106" i="131"/>
  <c r="AS105" i="131"/>
  <c r="AR105" i="131"/>
  <c r="AQ105" i="131"/>
  <c r="AS104" i="131"/>
  <c r="AR104" i="131"/>
  <c r="AQ104" i="131"/>
  <c r="AS103" i="131"/>
  <c r="AR103" i="131"/>
  <c r="AQ103" i="131"/>
  <c r="AS102" i="131"/>
  <c r="AR102" i="131"/>
  <c r="AQ102" i="131"/>
  <c r="AS101" i="131"/>
  <c r="AR101" i="131"/>
  <c r="AQ101" i="131"/>
  <c r="AR98" i="131"/>
  <c r="AQ98" i="131"/>
  <c r="AR99" i="131"/>
  <c r="AQ99" i="131"/>
  <c r="AR96" i="131"/>
  <c r="AQ96" i="131"/>
  <c r="AR95" i="131"/>
  <c r="AQ95" i="131"/>
  <c r="AR97" i="131"/>
  <c r="AQ97" i="131"/>
  <c r="AS85" i="131"/>
  <c r="AR85" i="131"/>
  <c r="AQ85" i="131"/>
  <c r="AS84" i="131"/>
  <c r="AR84" i="131"/>
  <c r="AQ84" i="131"/>
  <c r="AS83" i="131"/>
  <c r="AR83" i="131"/>
  <c r="AQ83" i="131"/>
  <c r="CG82" i="131"/>
  <c r="CF82" i="131"/>
  <c r="AS82" i="131" s="1"/>
  <c r="CI82" i="131"/>
  <c r="AR82" i="131"/>
  <c r="CK82" i="131"/>
  <c r="AQ82" i="131"/>
  <c r="AS81" i="131"/>
  <c r="AR81" i="131"/>
  <c r="AQ81" i="131"/>
  <c r="AS80" i="131"/>
  <c r="AR80" i="131"/>
  <c r="AQ80" i="131"/>
  <c r="AS78" i="131"/>
  <c r="AR78" i="131"/>
  <c r="AQ78" i="131"/>
  <c r="AS77" i="131"/>
  <c r="AR77" i="131"/>
  <c r="AQ77" i="131"/>
  <c r="AS76" i="131"/>
  <c r="AR76" i="131"/>
  <c r="AQ76" i="131"/>
  <c r="AS75" i="131"/>
  <c r="AR75" i="131"/>
  <c r="AQ75" i="131"/>
  <c r="AS74" i="131"/>
  <c r="AR74" i="131"/>
  <c r="AQ74" i="131"/>
  <c r="AS73" i="131"/>
  <c r="AR73" i="131"/>
  <c r="AQ73" i="131"/>
  <c r="CI71" i="131"/>
  <c r="AR71" i="131" s="1"/>
  <c r="CK71" i="131"/>
  <c r="AQ71" i="131"/>
  <c r="AR70" i="131"/>
  <c r="AQ70" i="131"/>
  <c r="AR69" i="131"/>
  <c r="AQ69" i="131"/>
  <c r="AS61" i="131"/>
  <c r="AR61" i="131"/>
  <c r="AQ61" i="131"/>
  <c r="AS60" i="131"/>
  <c r="AR60" i="131"/>
  <c r="AQ60" i="131"/>
  <c r="AS63" i="131"/>
  <c r="AR63" i="131"/>
  <c r="AQ63" i="131"/>
  <c r="AS62" i="131"/>
  <c r="AR62" i="131"/>
  <c r="AQ62" i="131"/>
  <c r="AS59" i="131"/>
  <c r="AR59" i="131"/>
  <c r="AQ59" i="131"/>
  <c r="AS58" i="131"/>
  <c r="AR58" i="131"/>
  <c r="AQ58" i="131"/>
  <c r="AS57" i="131"/>
  <c r="AR57" i="131"/>
  <c r="AQ57" i="131"/>
  <c r="AS56" i="131"/>
  <c r="AR56" i="131"/>
  <c r="AQ56" i="131"/>
  <c r="AR54" i="131"/>
  <c r="AQ54" i="131"/>
  <c r="AR53" i="131"/>
  <c r="AQ53" i="131"/>
  <c r="AQ51" i="131"/>
  <c r="AR50" i="131"/>
  <c r="AQ50" i="131"/>
  <c r="AR49" i="131"/>
  <c r="AQ49" i="131"/>
  <c r="AS48" i="131"/>
  <c r="AR48" i="131"/>
  <c r="AQ48" i="131"/>
  <c r="AR47" i="131"/>
  <c r="AQ47" i="131"/>
  <c r="AS46" i="131"/>
  <c r="AR46" i="131"/>
  <c r="AQ46" i="131"/>
  <c r="AR45" i="131"/>
  <c r="AQ45" i="131"/>
  <c r="AR44" i="131"/>
  <c r="AQ44" i="131"/>
  <c r="AR43" i="131"/>
  <c r="AQ43" i="131"/>
  <c r="AR42" i="131"/>
  <c r="AQ42" i="131"/>
  <c r="AS41" i="131"/>
  <c r="AR41" i="131"/>
  <c r="AQ41" i="131"/>
  <c r="AR39" i="131"/>
  <c r="AQ39" i="131"/>
  <c r="AS38" i="131"/>
  <c r="AR38" i="131"/>
  <c r="AQ38" i="131"/>
  <c r="AS37" i="131"/>
  <c r="AR37" i="131"/>
  <c r="AQ37" i="131"/>
  <c r="AS36" i="131"/>
  <c r="AR36" i="131"/>
  <c r="AQ36" i="131"/>
  <c r="CI33" i="131"/>
  <c r="AR33" i="131"/>
  <c r="CK33" i="131"/>
  <c r="AQ33" i="131"/>
  <c r="AR32" i="131"/>
  <c r="AQ32" i="131"/>
  <c r="AR31" i="131"/>
  <c r="AQ31" i="131"/>
  <c r="CI30" i="131"/>
  <c r="AR30" i="131" s="1"/>
  <c r="CK30" i="131"/>
  <c r="AQ30" i="131"/>
  <c r="AS29" i="131"/>
  <c r="AR29" i="131"/>
  <c r="AQ29" i="131"/>
  <c r="AS28" i="131"/>
  <c r="AR28" i="131"/>
  <c r="AQ28" i="131"/>
  <c r="AS26" i="131"/>
  <c r="AR26" i="131"/>
  <c r="AQ26" i="131"/>
  <c r="AS25" i="131"/>
  <c r="AR25" i="131"/>
  <c r="AQ25" i="131"/>
  <c r="AS24" i="131"/>
  <c r="AR24" i="131"/>
  <c r="AQ24" i="131"/>
  <c r="AR23" i="131"/>
  <c r="AQ23" i="131"/>
  <c r="AR17" i="131"/>
  <c r="AQ17" i="131"/>
  <c r="AS118" i="131"/>
  <c r="AR118" i="131"/>
  <c r="AQ118" i="131"/>
  <c r="AR16" i="131"/>
  <c r="AQ16" i="131"/>
  <c r="CI14" i="131"/>
  <c r="AR14" i="131"/>
  <c r="CK14" i="131"/>
  <c r="AQ14" i="131" s="1"/>
  <c r="AR13" i="131"/>
  <c r="AQ13" i="131"/>
  <c r="AS9" i="131"/>
  <c r="AR9" i="131"/>
  <c r="AQ9" i="131"/>
  <c r="AS12" i="131"/>
  <c r="AR12" i="131"/>
  <c r="AQ12" i="131"/>
  <c r="AS8" i="131"/>
  <c r="AR8" i="131"/>
  <c r="AQ8" i="131"/>
  <c r="AS11" i="131"/>
  <c r="AR11" i="131"/>
  <c r="AQ11" i="131"/>
  <c r="AS10" i="131"/>
  <c r="AR10" i="131"/>
  <c r="AQ10" i="131"/>
  <c r="AR7" i="131"/>
  <c r="AQ7" i="131"/>
  <c r="AP107" i="131"/>
  <c r="AO107" i="131"/>
  <c r="AN107" i="131"/>
  <c r="AM107" i="131"/>
  <c r="AP106" i="131"/>
  <c r="AO106" i="131"/>
  <c r="AN106" i="131"/>
  <c r="AM106" i="131"/>
  <c r="AP105" i="131"/>
  <c r="AO105" i="131"/>
  <c r="AN105" i="131"/>
  <c r="AM105" i="131"/>
  <c r="AP104" i="131"/>
  <c r="AO104" i="131"/>
  <c r="AN104" i="131"/>
  <c r="AM104" i="131"/>
  <c r="AP103" i="131"/>
  <c r="AO103" i="131"/>
  <c r="AN103" i="131"/>
  <c r="AM103" i="131"/>
  <c r="AP102" i="131"/>
  <c r="AO102" i="131"/>
  <c r="AN102" i="131"/>
  <c r="AM102" i="131"/>
  <c r="AP101" i="131"/>
  <c r="AO101" i="131"/>
  <c r="AN101" i="131"/>
  <c r="AM101" i="131"/>
  <c r="AP98" i="131"/>
  <c r="AO98" i="131"/>
  <c r="AN98" i="131"/>
  <c r="AM98" i="131"/>
  <c r="AP99" i="131"/>
  <c r="AO99" i="131"/>
  <c r="AN99" i="131"/>
  <c r="AM99" i="131"/>
  <c r="AP96" i="131"/>
  <c r="AO96" i="131"/>
  <c r="AN96" i="131"/>
  <c r="AM96" i="131"/>
  <c r="AP95" i="131"/>
  <c r="AO95" i="131"/>
  <c r="AN95" i="131"/>
  <c r="AM95" i="131"/>
  <c r="AP97" i="131"/>
  <c r="AO97" i="131"/>
  <c r="AN97" i="131"/>
  <c r="AM97" i="131"/>
  <c r="AP85" i="131"/>
  <c r="AO85" i="131"/>
  <c r="AN85" i="131"/>
  <c r="AM85" i="131"/>
  <c r="AP84" i="131"/>
  <c r="AO84" i="131"/>
  <c r="AN84" i="131"/>
  <c r="AM84" i="131"/>
  <c r="AP83" i="131"/>
  <c r="AO83" i="131"/>
  <c r="AN83" i="131"/>
  <c r="AM83" i="131"/>
  <c r="CD82" i="131"/>
  <c r="AP82" i="131" s="1"/>
  <c r="CC82" i="131"/>
  <c r="AO82" i="131"/>
  <c r="CJ82" i="131"/>
  <c r="AN82" i="131" s="1"/>
  <c r="CH82" i="131"/>
  <c r="AM82" i="131"/>
  <c r="AP81" i="131"/>
  <c r="AO81" i="131"/>
  <c r="AN81" i="131"/>
  <c r="AM81" i="131"/>
  <c r="AP80" i="131"/>
  <c r="AO80" i="131"/>
  <c r="AN80" i="131"/>
  <c r="AM80" i="131"/>
  <c r="AP78" i="131"/>
  <c r="AO78" i="131"/>
  <c r="AN78" i="131"/>
  <c r="AM78" i="131"/>
  <c r="AP77" i="131"/>
  <c r="AO77" i="131"/>
  <c r="AN77" i="131"/>
  <c r="AM77" i="131"/>
  <c r="AP76" i="131"/>
  <c r="AO76" i="131"/>
  <c r="AN76" i="131"/>
  <c r="AM76" i="131"/>
  <c r="AP75" i="131"/>
  <c r="AO75" i="131"/>
  <c r="AN75" i="131"/>
  <c r="AM75" i="131"/>
  <c r="AP74" i="131"/>
  <c r="AO74" i="131"/>
  <c r="AN74" i="131"/>
  <c r="AM74" i="131"/>
  <c r="AP73" i="131"/>
  <c r="AO73" i="131"/>
  <c r="AN73" i="131"/>
  <c r="AM73" i="131"/>
  <c r="CD71" i="131"/>
  <c r="AP71" i="131" s="1"/>
  <c r="CC71" i="131"/>
  <c r="AO71" i="131"/>
  <c r="CJ71" i="131"/>
  <c r="AN71" i="131" s="1"/>
  <c r="CH71" i="131"/>
  <c r="AM71" i="131"/>
  <c r="AP70" i="131"/>
  <c r="AO70" i="131"/>
  <c r="AN70" i="131"/>
  <c r="AM70" i="131"/>
  <c r="AP69" i="131"/>
  <c r="AO69" i="131"/>
  <c r="AN69" i="131"/>
  <c r="AM69" i="131"/>
  <c r="AP61" i="131"/>
  <c r="AO61" i="131"/>
  <c r="AN61" i="131"/>
  <c r="AM61" i="131"/>
  <c r="AP60" i="131"/>
  <c r="AO60" i="131"/>
  <c r="AN60" i="131"/>
  <c r="AM60" i="131"/>
  <c r="AP63" i="131"/>
  <c r="AO63" i="131"/>
  <c r="AN63" i="131"/>
  <c r="AM63" i="131"/>
  <c r="AP62" i="131"/>
  <c r="AO62" i="131"/>
  <c r="AN62" i="131"/>
  <c r="AM62" i="131"/>
  <c r="AP59" i="131"/>
  <c r="AO59" i="131"/>
  <c r="AN59" i="131"/>
  <c r="AM59" i="131"/>
  <c r="AP58" i="131"/>
  <c r="AO58" i="131"/>
  <c r="AN58" i="131"/>
  <c r="AM58" i="131"/>
  <c r="AP57" i="131"/>
  <c r="AO57" i="131"/>
  <c r="AN57" i="131"/>
  <c r="AM57" i="131"/>
  <c r="AP56" i="131"/>
  <c r="AO56" i="131"/>
  <c r="AN56" i="131"/>
  <c r="AM56" i="131"/>
  <c r="AP54" i="131"/>
  <c r="AO54" i="131"/>
  <c r="AN54" i="131"/>
  <c r="AM54" i="131"/>
  <c r="AO53" i="131"/>
  <c r="AO51" i="131"/>
  <c r="AM51" i="131"/>
  <c r="AP50" i="131"/>
  <c r="AO50" i="131"/>
  <c r="AN50" i="131"/>
  <c r="AM50" i="131"/>
  <c r="AP49" i="131"/>
  <c r="AO49" i="131"/>
  <c r="AN49" i="131"/>
  <c r="AM49" i="131"/>
  <c r="AP48" i="131"/>
  <c r="AO48" i="131"/>
  <c r="AN48" i="131"/>
  <c r="AM48" i="131"/>
  <c r="AP47" i="131"/>
  <c r="AO47" i="131"/>
  <c r="AN47" i="131"/>
  <c r="AM47" i="131"/>
  <c r="AP46" i="131"/>
  <c r="AO46" i="131"/>
  <c r="AN46" i="131"/>
  <c r="AM46" i="131"/>
  <c r="AP45" i="131"/>
  <c r="AO45" i="131"/>
  <c r="AN45" i="131"/>
  <c r="AM45" i="131"/>
  <c r="AP44" i="131"/>
  <c r="AO44" i="131"/>
  <c r="AN44" i="131"/>
  <c r="AM44" i="131"/>
  <c r="AP43" i="131"/>
  <c r="AO43" i="131"/>
  <c r="AN43" i="131"/>
  <c r="AM43" i="131"/>
  <c r="AP42" i="131"/>
  <c r="AO42" i="131"/>
  <c r="AN42" i="131"/>
  <c r="AM42" i="131"/>
  <c r="AP41" i="131"/>
  <c r="AO41" i="131"/>
  <c r="AN41" i="131"/>
  <c r="AM41" i="131"/>
  <c r="AP39" i="131"/>
  <c r="AO39" i="131"/>
  <c r="AN39" i="131"/>
  <c r="AM39" i="131"/>
  <c r="AP38" i="131"/>
  <c r="AO38" i="131"/>
  <c r="AN38" i="131"/>
  <c r="AM38" i="131"/>
  <c r="AP37" i="131"/>
  <c r="AO37" i="131"/>
  <c r="AN37" i="131"/>
  <c r="AM37" i="131"/>
  <c r="AP36" i="131"/>
  <c r="AO36" i="131"/>
  <c r="AN36" i="131"/>
  <c r="AM36" i="131"/>
  <c r="CD33" i="131"/>
  <c r="AP33" i="131"/>
  <c r="CC33" i="131"/>
  <c r="AO33" i="131"/>
  <c r="CJ33" i="131"/>
  <c r="AN33" i="131"/>
  <c r="CH33" i="131"/>
  <c r="AM33" i="131"/>
  <c r="AP32" i="131"/>
  <c r="AO32" i="131"/>
  <c r="AN32" i="131"/>
  <c r="AM32" i="131"/>
  <c r="AP31" i="131"/>
  <c r="AO31" i="131"/>
  <c r="AN31" i="131"/>
  <c r="AM31" i="131"/>
  <c r="CD30" i="131"/>
  <c r="AP30" i="131"/>
  <c r="CC30" i="131"/>
  <c r="AO30" i="131" s="1"/>
  <c r="CJ30" i="131"/>
  <c r="AN30" i="131"/>
  <c r="CH30" i="131"/>
  <c r="AM30" i="131"/>
  <c r="AP29" i="131"/>
  <c r="AO29" i="131"/>
  <c r="AN29" i="131"/>
  <c r="AM29" i="131"/>
  <c r="AP28" i="131"/>
  <c r="AO28" i="131"/>
  <c r="AN28" i="131"/>
  <c r="AM28" i="131"/>
  <c r="AP26" i="131"/>
  <c r="AO26" i="131"/>
  <c r="AN26" i="131"/>
  <c r="AM26" i="131"/>
  <c r="AP25" i="131"/>
  <c r="AO25" i="131"/>
  <c r="AN25" i="131"/>
  <c r="AM25" i="131"/>
  <c r="AP24" i="131"/>
  <c r="AO24" i="131"/>
  <c r="AN24" i="131"/>
  <c r="AM24" i="131"/>
  <c r="AP23" i="131"/>
  <c r="AO23" i="131"/>
  <c r="AN23" i="131"/>
  <c r="AM23" i="131"/>
  <c r="AP17" i="131"/>
  <c r="AO17" i="131"/>
  <c r="AN17" i="131"/>
  <c r="AM17" i="131"/>
  <c r="AP118" i="131"/>
  <c r="AO118" i="131"/>
  <c r="AN118" i="131"/>
  <c r="AM118" i="131"/>
  <c r="AP16" i="131"/>
  <c r="AO16" i="131"/>
  <c r="AN16" i="131"/>
  <c r="AM16" i="131"/>
  <c r="CD14" i="131"/>
  <c r="AP14" i="131"/>
  <c r="CC14" i="131"/>
  <c r="AO14" i="131"/>
  <c r="CJ14" i="131"/>
  <c r="AN14" i="131" s="1"/>
  <c r="CH14" i="131"/>
  <c r="AM14" i="131"/>
  <c r="AP13" i="131"/>
  <c r="AO13" i="131"/>
  <c r="AN13" i="131"/>
  <c r="AM13" i="131"/>
  <c r="AP9" i="131"/>
  <c r="AO9" i="131"/>
  <c r="AN9" i="131"/>
  <c r="AM9" i="131"/>
  <c r="AP12" i="131"/>
  <c r="AO12" i="131"/>
  <c r="AN12" i="131"/>
  <c r="AM12" i="131"/>
  <c r="AP8" i="131"/>
  <c r="AO8" i="131"/>
  <c r="AN8" i="131"/>
  <c r="AM8" i="131"/>
  <c r="AP11" i="131"/>
  <c r="AO11" i="131"/>
  <c r="AN11" i="131"/>
  <c r="AM11" i="131"/>
  <c r="AP10" i="131"/>
  <c r="AO10" i="131"/>
  <c r="AN10" i="131"/>
  <c r="AM10" i="131"/>
  <c r="AP7" i="131"/>
  <c r="AO7" i="131"/>
  <c r="AN7" i="131"/>
  <c r="AM7" i="131"/>
  <c r="AL107" i="131"/>
  <c r="AK107" i="131"/>
  <c r="AJ107" i="131"/>
  <c r="AL106" i="131"/>
  <c r="AK106" i="131"/>
  <c r="AJ106" i="131"/>
  <c r="AL105" i="131"/>
  <c r="AK105" i="131"/>
  <c r="AJ105" i="131"/>
  <c r="AL104" i="131"/>
  <c r="AK104" i="131"/>
  <c r="AJ104" i="131"/>
  <c r="AL103" i="131"/>
  <c r="AK103" i="131"/>
  <c r="AJ103" i="131"/>
  <c r="AL102" i="131"/>
  <c r="AK102" i="131"/>
  <c r="AJ102" i="131"/>
  <c r="AL101" i="131"/>
  <c r="AK101" i="131"/>
  <c r="AJ101" i="131"/>
  <c r="AL98" i="131"/>
  <c r="AK98" i="131"/>
  <c r="AJ98" i="131"/>
  <c r="AL99" i="131"/>
  <c r="AK99" i="131"/>
  <c r="AJ99" i="131"/>
  <c r="AL96" i="131"/>
  <c r="AK96" i="131"/>
  <c r="AJ96" i="131"/>
  <c r="AL95" i="131"/>
  <c r="AK95" i="131"/>
  <c r="AJ95" i="131"/>
  <c r="AL97" i="131"/>
  <c r="AK97" i="131"/>
  <c r="AJ97" i="131"/>
  <c r="AL85" i="131"/>
  <c r="AK85" i="131"/>
  <c r="AJ85" i="131"/>
  <c r="AL84" i="131"/>
  <c r="AK84" i="131"/>
  <c r="AJ84" i="131"/>
  <c r="AL83" i="131"/>
  <c r="AK83" i="131"/>
  <c r="AJ83" i="131"/>
  <c r="CE82" i="131"/>
  <c r="AL82" i="131"/>
  <c r="CB82" i="131"/>
  <c r="AK82" i="131" s="1"/>
  <c r="BY82" i="131"/>
  <c r="AJ82" i="131"/>
  <c r="AL81" i="131"/>
  <c r="AK81" i="131"/>
  <c r="AJ81" i="131"/>
  <c r="AL80" i="131"/>
  <c r="AK80" i="131"/>
  <c r="AJ80" i="131"/>
  <c r="AL78" i="131"/>
  <c r="AK78" i="131"/>
  <c r="AJ78" i="131"/>
  <c r="AL77" i="131"/>
  <c r="AK77" i="131"/>
  <c r="AJ77" i="131"/>
  <c r="AL76" i="131"/>
  <c r="AK76" i="131"/>
  <c r="AJ76" i="131"/>
  <c r="AL75" i="131"/>
  <c r="AK75" i="131"/>
  <c r="AJ75" i="131"/>
  <c r="AL74" i="131"/>
  <c r="AK74" i="131"/>
  <c r="AJ74" i="131"/>
  <c r="AL73" i="131"/>
  <c r="AK73" i="131"/>
  <c r="AJ73" i="131"/>
  <c r="CE71" i="131"/>
  <c r="AL71" i="131"/>
  <c r="CB71" i="131"/>
  <c r="AK71" i="131" s="1"/>
  <c r="BY71" i="131"/>
  <c r="AJ71" i="131"/>
  <c r="AL70" i="131"/>
  <c r="AK70" i="131"/>
  <c r="AJ70" i="131"/>
  <c r="AL69" i="131"/>
  <c r="AK69" i="131"/>
  <c r="AJ69" i="131"/>
  <c r="AL61" i="131"/>
  <c r="AK61" i="131"/>
  <c r="AJ61" i="131"/>
  <c r="AL60" i="131"/>
  <c r="AK60" i="131"/>
  <c r="AJ60" i="131"/>
  <c r="AL63" i="131"/>
  <c r="AK63" i="131"/>
  <c r="AJ63" i="131"/>
  <c r="AL62" i="131"/>
  <c r="AK62" i="131"/>
  <c r="AJ62" i="131"/>
  <c r="AL59" i="131"/>
  <c r="AK59" i="131"/>
  <c r="AJ59" i="131"/>
  <c r="AL58" i="131"/>
  <c r="AK58" i="131"/>
  <c r="AJ58" i="131"/>
  <c r="AL57" i="131"/>
  <c r="AK57" i="131"/>
  <c r="AJ57" i="131"/>
  <c r="AL56" i="131"/>
  <c r="AK56" i="131"/>
  <c r="AJ56" i="131"/>
  <c r="AL54" i="131"/>
  <c r="AK54" i="131"/>
  <c r="AJ54" i="131"/>
  <c r="AK53" i="131"/>
  <c r="AJ53" i="131"/>
  <c r="AL51" i="131"/>
  <c r="AJ51" i="131"/>
  <c r="AL50" i="131"/>
  <c r="AK50" i="131"/>
  <c r="AJ50" i="131"/>
  <c r="AL49" i="131"/>
  <c r="AK49" i="131"/>
  <c r="AJ49" i="131"/>
  <c r="AL48" i="131"/>
  <c r="AK48" i="131"/>
  <c r="AJ48" i="131"/>
  <c r="AL47" i="131"/>
  <c r="AK47" i="131"/>
  <c r="AJ47" i="131"/>
  <c r="AL46" i="131"/>
  <c r="AK46" i="131"/>
  <c r="AJ46" i="131"/>
  <c r="AL45" i="131"/>
  <c r="AK45" i="131"/>
  <c r="AJ45" i="131"/>
  <c r="AL44" i="131"/>
  <c r="AK44" i="131"/>
  <c r="AJ44" i="131"/>
  <c r="AL43" i="131"/>
  <c r="AK43" i="131"/>
  <c r="AJ43" i="131"/>
  <c r="AL42" i="131"/>
  <c r="AK42" i="131"/>
  <c r="AJ42" i="131"/>
  <c r="AL41" i="131"/>
  <c r="AK41" i="131"/>
  <c r="AJ41" i="131"/>
  <c r="AL39" i="131"/>
  <c r="AK39" i="131"/>
  <c r="AJ39" i="131"/>
  <c r="AL38" i="131"/>
  <c r="AK38" i="131"/>
  <c r="AJ38" i="131"/>
  <c r="AL37" i="131"/>
  <c r="AK37" i="131"/>
  <c r="AJ37" i="131"/>
  <c r="AL36" i="131"/>
  <c r="AK36" i="131"/>
  <c r="AJ36" i="131"/>
  <c r="CE33" i="131"/>
  <c r="AL33" i="131" s="1"/>
  <c r="CB33" i="131"/>
  <c r="AK33" i="131"/>
  <c r="BY33" i="131"/>
  <c r="AJ33" i="131"/>
  <c r="AL32" i="131"/>
  <c r="AK32" i="131"/>
  <c r="AJ32" i="131"/>
  <c r="AL31" i="131"/>
  <c r="CE30" i="131"/>
  <c r="AL30" i="131"/>
  <c r="CB30" i="131"/>
  <c r="AK30" i="131"/>
  <c r="BY30" i="131"/>
  <c r="AJ30" i="131" s="1"/>
  <c r="AL29" i="131"/>
  <c r="AK29" i="131"/>
  <c r="AJ29" i="131"/>
  <c r="AL28" i="131"/>
  <c r="AK28" i="131"/>
  <c r="AJ28" i="131"/>
  <c r="AL26" i="131"/>
  <c r="AK26" i="131"/>
  <c r="AJ26" i="131"/>
  <c r="AL25" i="131"/>
  <c r="AK25" i="131"/>
  <c r="AJ25" i="131"/>
  <c r="AL24" i="131"/>
  <c r="AK24" i="131"/>
  <c r="AJ24" i="131"/>
  <c r="AL23" i="131"/>
  <c r="AK23" i="131"/>
  <c r="AJ23" i="131"/>
  <c r="AL17" i="131"/>
  <c r="AK17" i="131"/>
  <c r="AJ17" i="131"/>
  <c r="AL118" i="131"/>
  <c r="AK118" i="131"/>
  <c r="AJ118" i="131"/>
  <c r="AL16" i="131"/>
  <c r="AK16" i="131"/>
  <c r="AJ16" i="131"/>
  <c r="CE14" i="131"/>
  <c r="AL14" i="131" s="1"/>
  <c r="CB14" i="131"/>
  <c r="AK14" i="131"/>
  <c r="BY14" i="131"/>
  <c r="AJ14" i="131"/>
  <c r="AL13" i="131"/>
  <c r="AK13" i="131"/>
  <c r="AJ13" i="131"/>
  <c r="AL9" i="131"/>
  <c r="AK9" i="131"/>
  <c r="AJ9" i="131"/>
  <c r="AL12" i="131"/>
  <c r="AK12" i="131"/>
  <c r="AJ12" i="131"/>
  <c r="AL8" i="131"/>
  <c r="AK8" i="131"/>
  <c r="AJ8" i="131"/>
  <c r="AL11" i="131"/>
  <c r="AK11" i="131"/>
  <c r="AJ11" i="131"/>
  <c r="AL10" i="131"/>
  <c r="AK10" i="131"/>
  <c r="AJ10" i="131"/>
  <c r="AL7" i="131"/>
  <c r="AK7" i="131"/>
  <c r="AJ7" i="131"/>
  <c r="AI107" i="131"/>
  <c r="AH107" i="131"/>
  <c r="AG107" i="131"/>
  <c r="AF107" i="131"/>
  <c r="AI106" i="131"/>
  <c r="AH106" i="131"/>
  <c r="AG106" i="131"/>
  <c r="AF106" i="131"/>
  <c r="AI105" i="131"/>
  <c r="AH105" i="131"/>
  <c r="AG105" i="131"/>
  <c r="AF105" i="131"/>
  <c r="AI104" i="131"/>
  <c r="AH104" i="131"/>
  <c r="AG104" i="131"/>
  <c r="AF104" i="131"/>
  <c r="AI103" i="131"/>
  <c r="AH103" i="131"/>
  <c r="AG103" i="131"/>
  <c r="AF103" i="131"/>
  <c r="AI102" i="131"/>
  <c r="AH102" i="131"/>
  <c r="AG102" i="131"/>
  <c r="AF102" i="131"/>
  <c r="AI101" i="131"/>
  <c r="AH101" i="131"/>
  <c r="AG101" i="131"/>
  <c r="AF101" i="131"/>
  <c r="AI98" i="131"/>
  <c r="AH98" i="131"/>
  <c r="AG98" i="131"/>
  <c r="AF98" i="131"/>
  <c r="AI99" i="131"/>
  <c r="AH99" i="131"/>
  <c r="AG99" i="131"/>
  <c r="AF99" i="131"/>
  <c r="AI96" i="131"/>
  <c r="AH96" i="131"/>
  <c r="AG96" i="131"/>
  <c r="AF96" i="131"/>
  <c r="AI95" i="131"/>
  <c r="AH95" i="131"/>
  <c r="AG95" i="131"/>
  <c r="AF95" i="131"/>
  <c r="AI97" i="131"/>
  <c r="AH97" i="131"/>
  <c r="AG97" i="131"/>
  <c r="AF97" i="131"/>
  <c r="AI85" i="131"/>
  <c r="AH85" i="131"/>
  <c r="AG85" i="131"/>
  <c r="AF85" i="131"/>
  <c r="AI84" i="131"/>
  <c r="AH84" i="131"/>
  <c r="AG84" i="131"/>
  <c r="AF84" i="131"/>
  <c r="AI83" i="131"/>
  <c r="AH83" i="131"/>
  <c r="AG83" i="131"/>
  <c r="AF83" i="131"/>
  <c r="BW82" i="131"/>
  <c r="AI82" i="131"/>
  <c r="BZ82" i="131"/>
  <c r="AH82" i="131"/>
  <c r="BV82" i="131"/>
  <c r="AG82" i="131"/>
  <c r="CA82" i="131"/>
  <c r="AF82" i="131"/>
  <c r="AI81" i="131"/>
  <c r="AH81" i="131"/>
  <c r="AG81" i="131"/>
  <c r="AF81" i="131"/>
  <c r="AI80" i="131"/>
  <c r="AH80" i="131"/>
  <c r="AG80" i="131"/>
  <c r="AF80" i="131"/>
  <c r="AI78" i="131"/>
  <c r="AH78" i="131"/>
  <c r="AG78" i="131"/>
  <c r="AF78" i="131"/>
  <c r="AI77" i="131"/>
  <c r="AH77" i="131"/>
  <c r="AG77" i="131"/>
  <c r="AF77" i="131"/>
  <c r="AI76" i="131"/>
  <c r="AH76" i="131"/>
  <c r="AG76" i="131"/>
  <c r="AF76" i="131"/>
  <c r="AI75" i="131"/>
  <c r="AH75" i="131"/>
  <c r="AG75" i="131"/>
  <c r="AF75" i="131"/>
  <c r="AI74" i="131"/>
  <c r="AH74" i="131"/>
  <c r="AG74" i="131"/>
  <c r="AF74" i="131"/>
  <c r="AI73" i="131"/>
  <c r="AH73" i="131"/>
  <c r="AG73" i="131"/>
  <c r="AF73" i="131"/>
  <c r="BW71" i="131"/>
  <c r="AI71" i="131"/>
  <c r="BZ71" i="131"/>
  <c r="AH71" i="131"/>
  <c r="BV71" i="131"/>
  <c r="AG71" i="131"/>
  <c r="CA71" i="131"/>
  <c r="AF71" i="131"/>
  <c r="AI70" i="131"/>
  <c r="AH70" i="131"/>
  <c r="AG70" i="131"/>
  <c r="AF70" i="131"/>
  <c r="AI69" i="131"/>
  <c r="AH69" i="131"/>
  <c r="AG69" i="131"/>
  <c r="AF69" i="131"/>
  <c r="AI61" i="131"/>
  <c r="AH61" i="131"/>
  <c r="AG61" i="131"/>
  <c r="AF61" i="131"/>
  <c r="AI60" i="131"/>
  <c r="AH60" i="131"/>
  <c r="AG60" i="131"/>
  <c r="AF60" i="131"/>
  <c r="AI63" i="131"/>
  <c r="AH63" i="131"/>
  <c r="AG63" i="131"/>
  <c r="AF63" i="131"/>
  <c r="AI62" i="131"/>
  <c r="AH62" i="131"/>
  <c r="AG62" i="131"/>
  <c r="AF62" i="131"/>
  <c r="AI59" i="131"/>
  <c r="AH59" i="131"/>
  <c r="AG59" i="131"/>
  <c r="AF59" i="131"/>
  <c r="AI58" i="131"/>
  <c r="AH58" i="131"/>
  <c r="AG58" i="131"/>
  <c r="AF58" i="131"/>
  <c r="AI57" i="131"/>
  <c r="AH57" i="131"/>
  <c r="AG57" i="131"/>
  <c r="AF57" i="131"/>
  <c r="AI56" i="131"/>
  <c r="AH56" i="131"/>
  <c r="AG56" i="131"/>
  <c r="AF56" i="131"/>
  <c r="AI54" i="131"/>
  <c r="AH54" i="131"/>
  <c r="AG54" i="131"/>
  <c r="AF54" i="131"/>
  <c r="AG53" i="131"/>
  <c r="AF53" i="131"/>
  <c r="AI51" i="131"/>
  <c r="AH51" i="131"/>
  <c r="AI50" i="131"/>
  <c r="AH50" i="131"/>
  <c r="AG50" i="131"/>
  <c r="AF50" i="131"/>
  <c r="AI49" i="131"/>
  <c r="AH49" i="131"/>
  <c r="AG49" i="131"/>
  <c r="AF49" i="131"/>
  <c r="AI48" i="131"/>
  <c r="AH48" i="131"/>
  <c r="AG48" i="131"/>
  <c r="AF48" i="131"/>
  <c r="AI47" i="131"/>
  <c r="AH47" i="131"/>
  <c r="AG47" i="131"/>
  <c r="AF47" i="131"/>
  <c r="AI46" i="131"/>
  <c r="AH46" i="131"/>
  <c r="AG46" i="131"/>
  <c r="AF46" i="131"/>
  <c r="AI45" i="131"/>
  <c r="AH45" i="131"/>
  <c r="AG45" i="131"/>
  <c r="AF45" i="131"/>
  <c r="AI44" i="131"/>
  <c r="AH44" i="131"/>
  <c r="AG44" i="131"/>
  <c r="AF44" i="131"/>
  <c r="AI43" i="131"/>
  <c r="AH43" i="131"/>
  <c r="AG43" i="131"/>
  <c r="AF43" i="131"/>
  <c r="AI42" i="131"/>
  <c r="AH42" i="131"/>
  <c r="AG42" i="131"/>
  <c r="AF42" i="131"/>
  <c r="AI41" i="131"/>
  <c r="AH41" i="131"/>
  <c r="AG41" i="131"/>
  <c r="AF41" i="131"/>
  <c r="AI39" i="131"/>
  <c r="AH39" i="131"/>
  <c r="AG39" i="131"/>
  <c r="AF39" i="131"/>
  <c r="AI38" i="131"/>
  <c r="AH38" i="131"/>
  <c r="AG38" i="131"/>
  <c r="AF38" i="131"/>
  <c r="AI37" i="131"/>
  <c r="AH37" i="131"/>
  <c r="AG37" i="131"/>
  <c r="AF37" i="131"/>
  <c r="AI36" i="131"/>
  <c r="AH36" i="131"/>
  <c r="AG36" i="131"/>
  <c r="AF36" i="131"/>
  <c r="BW33" i="131"/>
  <c r="AI33" i="131"/>
  <c r="BZ33" i="131"/>
  <c r="AH33" i="131" s="1"/>
  <c r="BV33" i="131"/>
  <c r="AG33" i="131"/>
  <c r="CA33" i="131"/>
  <c r="AF33" i="131"/>
  <c r="AI32" i="131"/>
  <c r="AH32" i="131"/>
  <c r="AG32" i="131"/>
  <c r="AF32" i="131"/>
  <c r="AI31" i="131"/>
  <c r="AH31" i="131"/>
  <c r="AF31" i="131"/>
  <c r="BW30" i="131"/>
  <c r="AI30" i="131"/>
  <c r="BZ30" i="131"/>
  <c r="AH30" i="131"/>
  <c r="BV30" i="131"/>
  <c r="AG30" i="131"/>
  <c r="CA30" i="131"/>
  <c r="AF30" i="131" s="1"/>
  <c r="AI29" i="131"/>
  <c r="AH29" i="131"/>
  <c r="AG29" i="131"/>
  <c r="AF29" i="131"/>
  <c r="AI28" i="131"/>
  <c r="AH28" i="131"/>
  <c r="AG28" i="131"/>
  <c r="AF28" i="131"/>
  <c r="AI26" i="131"/>
  <c r="AH26" i="131"/>
  <c r="AG26" i="131"/>
  <c r="AF26" i="131"/>
  <c r="AI25" i="131"/>
  <c r="AH25" i="131"/>
  <c r="AG25" i="131"/>
  <c r="AF25" i="131"/>
  <c r="AI24" i="131"/>
  <c r="AH24" i="131"/>
  <c r="AG24" i="131"/>
  <c r="AF24" i="131"/>
  <c r="AI23" i="131"/>
  <c r="AH23" i="131"/>
  <c r="AG23" i="131"/>
  <c r="AF23" i="131"/>
  <c r="AI17" i="131"/>
  <c r="AH17" i="131"/>
  <c r="AG17" i="131"/>
  <c r="AF17" i="131"/>
  <c r="AI118" i="131"/>
  <c r="AH118" i="131"/>
  <c r="AG118" i="131"/>
  <c r="AF118" i="131"/>
  <c r="AI16" i="131"/>
  <c r="AH16" i="131"/>
  <c r="AG16" i="131"/>
  <c r="AF16" i="131"/>
  <c r="BW14" i="131"/>
  <c r="AI14" i="131"/>
  <c r="BZ14" i="131"/>
  <c r="AH14" i="131" s="1"/>
  <c r="BV14" i="131"/>
  <c r="AG14" i="131"/>
  <c r="CA14" i="131"/>
  <c r="AF14" i="131"/>
  <c r="AI13" i="131"/>
  <c r="AH13" i="131"/>
  <c r="AG13" i="131"/>
  <c r="AF13" i="131"/>
  <c r="AI9" i="131"/>
  <c r="AH9" i="131"/>
  <c r="AG9" i="131"/>
  <c r="AF9" i="131"/>
  <c r="AI12" i="131"/>
  <c r="AH12" i="131"/>
  <c r="AG12" i="131"/>
  <c r="AF12" i="131"/>
  <c r="AI8" i="131"/>
  <c r="AH8" i="131"/>
  <c r="AG8" i="131"/>
  <c r="AF8" i="131"/>
  <c r="AI11" i="131"/>
  <c r="AH11" i="131"/>
  <c r="AG11" i="131"/>
  <c r="AF11" i="131"/>
  <c r="AI10" i="131"/>
  <c r="AH10" i="131"/>
  <c r="AG10" i="131"/>
  <c r="AF10" i="131"/>
  <c r="AI7" i="131"/>
  <c r="AH7" i="131"/>
  <c r="AG7" i="131"/>
  <c r="AF7" i="131"/>
  <c r="AE69" i="131"/>
  <c r="AE71" i="131" s="1"/>
  <c r="AE70" i="131"/>
  <c r="AE51" i="131"/>
  <c r="AE45" i="131"/>
  <c r="AE47" i="131" s="1"/>
  <c r="AE42" i="131"/>
  <c r="AE44" i="131"/>
  <c r="AE23" i="131"/>
  <c r="AE31" i="131" s="1"/>
  <c r="AE32" i="131"/>
  <c r="AE33" i="131" s="1"/>
  <c r="AE16" i="131"/>
  <c r="AE17" i="131"/>
  <c r="AE13" i="131"/>
  <c r="AE7" i="131"/>
  <c r="AE14" i="131"/>
  <c r="AE107" i="131"/>
  <c r="AE106" i="131"/>
  <c r="AE105" i="131"/>
  <c r="AE104" i="131"/>
  <c r="AE103" i="131"/>
  <c r="AE102" i="131"/>
  <c r="AE101" i="131"/>
  <c r="AE85" i="131"/>
  <c r="AE84" i="131"/>
  <c r="AE83" i="131"/>
  <c r="BT82" i="131"/>
  <c r="BS82" i="131"/>
  <c r="AE82" i="131" s="1"/>
  <c r="AE81" i="131"/>
  <c r="AE80" i="131"/>
  <c r="AE78" i="131"/>
  <c r="AE77" i="131"/>
  <c r="AE76" i="131"/>
  <c r="AE75" i="131"/>
  <c r="AE74" i="131"/>
  <c r="AE73" i="131"/>
  <c r="AE61" i="131"/>
  <c r="AE60" i="131"/>
  <c r="AE63" i="131"/>
  <c r="AE62" i="131"/>
  <c r="AE59" i="131"/>
  <c r="AE58" i="131"/>
  <c r="AE57" i="131"/>
  <c r="AE56" i="131"/>
  <c r="AE49" i="131"/>
  <c r="AE48" i="131"/>
  <c r="AE43" i="131"/>
  <c r="AE41" i="131"/>
  <c r="AE38" i="131"/>
  <c r="AE37" i="131"/>
  <c r="AE36" i="131"/>
  <c r="AE29" i="131"/>
  <c r="AE28" i="131"/>
  <c r="AE26" i="131"/>
  <c r="AE25" i="131"/>
  <c r="AE24" i="131"/>
  <c r="AE118" i="131"/>
  <c r="AE9" i="131"/>
  <c r="AE12" i="131"/>
  <c r="AE8" i="131"/>
  <c r="AE11" i="131"/>
  <c r="AE10" i="131"/>
  <c r="AD107" i="131"/>
  <c r="AC107" i="131"/>
  <c r="AB107" i="131"/>
  <c r="AD106" i="131"/>
  <c r="AC106" i="131"/>
  <c r="AB106" i="131"/>
  <c r="AD105" i="131"/>
  <c r="AC105" i="131"/>
  <c r="AB105" i="131"/>
  <c r="AD104" i="131"/>
  <c r="AC104" i="131"/>
  <c r="AB104" i="131"/>
  <c r="AD103" i="131"/>
  <c r="AC103" i="131"/>
  <c r="AB103" i="131"/>
  <c r="AD102" i="131"/>
  <c r="AC102" i="131"/>
  <c r="AB102" i="131"/>
  <c r="AD101" i="131"/>
  <c r="AC101" i="131"/>
  <c r="AB101" i="131"/>
  <c r="AD98" i="131"/>
  <c r="AC98" i="131"/>
  <c r="AB98" i="131"/>
  <c r="AD99" i="131"/>
  <c r="AC99" i="131"/>
  <c r="AB99" i="131"/>
  <c r="AD96" i="131"/>
  <c r="AC96" i="131"/>
  <c r="AB96" i="131"/>
  <c r="AD95" i="131"/>
  <c r="AC95" i="131"/>
  <c r="AB95" i="131"/>
  <c r="AD97" i="131"/>
  <c r="AC97" i="131"/>
  <c r="AB97" i="131"/>
  <c r="AD85" i="131"/>
  <c r="AC85" i="131"/>
  <c r="AB85" i="131"/>
  <c r="AD84" i="131"/>
  <c r="AC84" i="131"/>
  <c r="AB84" i="131"/>
  <c r="AD83" i="131"/>
  <c r="AC83" i="131"/>
  <c r="AB83" i="131"/>
  <c r="BU82" i="131"/>
  <c r="AD82" i="131" s="1"/>
  <c r="BX82" i="131"/>
  <c r="AC82" i="131"/>
  <c r="BP82" i="131"/>
  <c r="AB82" i="131" s="1"/>
  <c r="AD81" i="131"/>
  <c r="AC81" i="131"/>
  <c r="AB81" i="131"/>
  <c r="AD80" i="131"/>
  <c r="AC80" i="131"/>
  <c r="AB80" i="131"/>
  <c r="AD78" i="131"/>
  <c r="AC78" i="131"/>
  <c r="AB78" i="131"/>
  <c r="AD77" i="131"/>
  <c r="AC77" i="131"/>
  <c r="AB77" i="131"/>
  <c r="AD76" i="131"/>
  <c r="AC76" i="131"/>
  <c r="AB76" i="131"/>
  <c r="AD75" i="131"/>
  <c r="AC75" i="131"/>
  <c r="AB75" i="131"/>
  <c r="AD74" i="131"/>
  <c r="AC74" i="131"/>
  <c r="AB74" i="131"/>
  <c r="AD73" i="131"/>
  <c r="AC73" i="131"/>
  <c r="AB73" i="131"/>
  <c r="BU71" i="131"/>
  <c r="AD71" i="131" s="1"/>
  <c r="BX71" i="131"/>
  <c r="AC71" i="131"/>
  <c r="BP71" i="131"/>
  <c r="AB71" i="131" s="1"/>
  <c r="AD70" i="131"/>
  <c r="AC70" i="131"/>
  <c r="AB70" i="131"/>
  <c r="AD69" i="131"/>
  <c r="AC69" i="131"/>
  <c r="AB69" i="131"/>
  <c r="AD61" i="131"/>
  <c r="AC61" i="131"/>
  <c r="AB61" i="131"/>
  <c r="AD60" i="131"/>
  <c r="AC60" i="131"/>
  <c r="AB60" i="131"/>
  <c r="AD63" i="131"/>
  <c r="AC63" i="131"/>
  <c r="AB63" i="131"/>
  <c r="AD62" i="131"/>
  <c r="AC62" i="131"/>
  <c r="AB62" i="131"/>
  <c r="AD59" i="131"/>
  <c r="AC59" i="131"/>
  <c r="AB59" i="131"/>
  <c r="AD58" i="131"/>
  <c r="AC58" i="131"/>
  <c r="AB58" i="131"/>
  <c r="AD57" i="131"/>
  <c r="AC57" i="131"/>
  <c r="AB57" i="131"/>
  <c r="AD56" i="131"/>
  <c r="AC56" i="131"/>
  <c r="AB56" i="131"/>
  <c r="AD54" i="131"/>
  <c r="AC54" i="131"/>
  <c r="AB54" i="131"/>
  <c r="AD53" i="131"/>
  <c r="AC51" i="131"/>
  <c r="AB51" i="131"/>
  <c r="AD50" i="131"/>
  <c r="AC50" i="131"/>
  <c r="AB50" i="131"/>
  <c r="AD49" i="131"/>
  <c r="AC49" i="131"/>
  <c r="AB49" i="131"/>
  <c r="AD48" i="131"/>
  <c r="AC48" i="131"/>
  <c r="AB48" i="131"/>
  <c r="AD47" i="131"/>
  <c r="AC47" i="131"/>
  <c r="AB47" i="131"/>
  <c r="AD46" i="131"/>
  <c r="AC46" i="131"/>
  <c r="AB46" i="131"/>
  <c r="AD45" i="131"/>
  <c r="AC45" i="131"/>
  <c r="AB45" i="131"/>
  <c r="AD44" i="131"/>
  <c r="AC44" i="131"/>
  <c r="AB44" i="131"/>
  <c r="AD43" i="131"/>
  <c r="AC43" i="131"/>
  <c r="AB43" i="131"/>
  <c r="AD42" i="131"/>
  <c r="AC42" i="131"/>
  <c r="AB42" i="131"/>
  <c r="AD41" i="131"/>
  <c r="AC41" i="131"/>
  <c r="AB41" i="131"/>
  <c r="AD39" i="131"/>
  <c r="AC39" i="131"/>
  <c r="AB39" i="131"/>
  <c r="AD38" i="131"/>
  <c r="AC38" i="131"/>
  <c r="AB38" i="131"/>
  <c r="AD37" i="131"/>
  <c r="AC37" i="131"/>
  <c r="AB37" i="131"/>
  <c r="AD36" i="131"/>
  <c r="AC36" i="131"/>
  <c r="AB36" i="131"/>
  <c r="BU33" i="131"/>
  <c r="AD33" i="131"/>
  <c r="BX33" i="131"/>
  <c r="AC33" i="131" s="1"/>
  <c r="BP33" i="131"/>
  <c r="AB33" i="131"/>
  <c r="AD32" i="131"/>
  <c r="AC32" i="131"/>
  <c r="AB32" i="131"/>
  <c r="AD31" i="131"/>
  <c r="AC31" i="131"/>
  <c r="AB31" i="131"/>
  <c r="BU30" i="131"/>
  <c r="AD30" i="131" s="1"/>
  <c r="BX30" i="131"/>
  <c r="AC30" i="131"/>
  <c r="BP30" i="131"/>
  <c r="AB30" i="131"/>
  <c r="AD29" i="131"/>
  <c r="AC29" i="131"/>
  <c r="AB29" i="131"/>
  <c r="AD28" i="131"/>
  <c r="AC28" i="131"/>
  <c r="AB28" i="131"/>
  <c r="AD26" i="131"/>
  <c r="AC26" i="131"/>
  <c r="AB26" i="131"/>
  <c r="AD25" i="131"/>
  <c r="AC25" i="131"/>
  <c r="AB25" i="131"/>
  <c r="AD24" i="131"/>
  <c r="AC24" i="131"/>
  <c r="AB24" i="131"/>
  <c r="AD23" i="131"/>
  <c r="AC23" i="131"/>
  <c r="AB23" i="131"/>
  <c r="AD17" i="131"/>
  <c r="AC17" i="131"/>
  <c r="AB17" i="131"/>
  <c r="AD118" i="131"/>
  <c r="AC118" i="131"/>
  <c r="AB118" i="131"/>
  <c r="AD16" i="131"/>
  <c r="AC16" i="131"/>
  <c r="AB16" i="131"/>
  <c r="BU14" i="131"/>
  <c r="AD14" i="131"/>
  <c r="BX14" i="131"/>
  <c r="AC14" i="131" s="1"/>
  <c r="BP14" i="131"/>
  <c r="AB14" i="131"/>
  <c r="AD13" i="131"/>
  <c r="AC13" i="131"/>
  <c r="AB13" i="131"/>
  <c r="AD9" i="131"/>
  <c r="AC9" i="131"/>
  <c r="AB9" i="131"/>
  <c r="AD12" i="131"/>
  <c r="AC12" i="131"/>
  <c r="AB12" i="131"/>
  <c r="AD8" i="131"/>
  <c r="AC8" i="131"/>
  <c r="AB8" i="131"/>
  <c r="AD11" i="131"/>
  <c r="AC11" i="131"/>
  <c r="AB11" i="131"/>
  <c r="AD10" i="131"/>
  <c r="AC10" i="131"/>
  <c r="AB10" i="131"/>
  <c r="AD7" i="131"/>
  <c r="AC7" i="131"/>
  <c r="AB7" i="131"/>
  <c r="AA69" i="131"/>
  <c r="AA71" i="131" s="1"/>
  <c r="AA54" i="131"/>
  <c r="AA51" i="131"/>
  <c r="AA23" i="131"/>
  <c r="AA16" i="131"/>
  <c r="AA17" i="131" s="1"/>
  <c r="AA13" i="131"/>
  <c r="AA7" i="131"/>
  <c r="AA14" i="131"/>
  <c r="AA107" i="131"/>
  <c r="AA106" i="131"/>
  <c r="AA105" i="131"/>
  <c r="AA104" i="131"/>
  <c r="AA103" i="131"/>
  <c r="AA102" i="131"/>
  <c r="AA101" i="131"/>
  <c r="AA85" i="131"/>
  <c r="AA84" i="131"/>
  <c r="AA83" i="131"/>
  <c r="BQ82" i="131"/>
  <c r="AA82" i="131" s="1"/>
  <c r="BO82" i="131"/>
  <c r="AA81" i="131"/>
  <c r="AA80" i="131"/>
  <c r="AA78" i="131"/>
  <c r="AA77" i="131"/>
  <c r="AA76" i="131"/>
  <c r="AA75" i="131"/>
  <c r="AA74" i="131"/>
  <c r="AA73" i="131"/>
  <c r="AA61" i="131"/>
  <c r="AA60" i="131"/>
  <c r="AA63" i="131"/>
  <c r="AA62" i="131"/>
  <c r="AA59" i="131"/>
  <c r="AA58" i="131"/>
  <c r="AA57" i="131"/>
  <c r="AA56" i="131"/>
  <c r="AA48" i="131"/>
  <c r="AA41" i="131"/>
  <c r="AA37" i="131"/>
  <c r="AA36" i="131"/>
  <c r="AA29" i="131"/>
  <c r="AA28" i="131"/>
  <c r="AA26" i="131"/>
  <c r="AA25" i="131"/>
  <c r="AA24" i="131"/>
  <c r="AA118" i="131"/>
  <c r="AA9" i="131"/>
  <c r="AA12" i="131"/>
  <c r="AA8" i="131"/>
  <c r="AA11" i="131"/>
  <c r="AA10" i="131"/>
  <c r="Z107" i="131"/>
  <c r="Z106" i="131"/>
  <c r="Z105" i="131"/>
  <c r="Z104" i="131"/>
  <c r="Z103" i="131"/>
  <c r="Z102" i="131"/>
  <c r="Z101" i="131"/>
  <c r="Z98" i="131"/>
  <c r="Z99" i="131"/>
  <c r="Z96" i="131"/>
  <c r="Z95" i="131"/>
  <c r="Z97" i="131"/>
  <c r="Z85" i="131"/>
  <c r="Z84" i="131"/>
  <c r="Z83" i="131"/>
  <c r="BM82" i="131"/>
  <c r="Z82" i="131"/>
  <c r="Z81" i="131"/>
  <c r="Z80" i="131"/>
  <c r="Z78" i="131"/>
  <c r="Z77" i="131"/>
  <c r="Z76" i="131"/>
  <c r="Z75" i="131"/>
  <c r="Z74" i="131"/>
  <c r="Z73" i="131"/>
  <c r="BM71" i="131"/>
  <c r="Z71" i="131"/>
  <c r="Z70" i="131"/>
  <c r="Z69" i="131"/>
  <c r="Z61" i="131"/>
  <c r="Z60" i="131"/>
  <c r="Z63" i="131"/>
  <c r="Z62" i="131"/>
  <c r="Z59" i="131"/>
  <c r="Z58" i="131"/>
  <c r="Z57" i="131"/>
  <c r="Z56" i="131"/>
  <c r="Z54" i="131"/>
  <c r="Z51" i="131"/>
  <c r="Z50" i="131"/>
  <c r="Z49" i="131"/>
  <c r="Z48" i="131"/>
  <c r="Z47" i="131"/>
  <c r="Z46" i="131"/>
  <c r="Z45" i="131"/>
  <c r="Z44" i="131"/>
  <c r="Z43" i="131"/>
  <c r="Z42" i="131"/>
  <c r="Z41" i="131"/>
  <c r="Z39" i="131"/>
  <c r="Z38" i="131"/>
  <c r="Z37" i="131"/>
  <c r="Z36" i="131"/>
  <c r="BM33" i="131"/>
  <c r="Z33" i="131"/>
  <c r="Z32" i="131"/>
  <c r="BM30" i="131"/>
  <c r="Z30" i="131"/>
  <c r="Z29" i="131"/>
  <c r="Z28" i="131"/>
  <c r="Z26" i="131"/>
  <c r="Z25" i="131"/>
  <c r="Z24" i="131"/>
  <c r="Z23" i="131"/>
  <c r="Z17" i="131"/>
  <c r="Z118" i="131"/>
  <c r="Z16" i="131"/>
  <c r="BM14" i="131"/>
  <c r="Z14" i="131"/>
  <c r="Z13" i="131"/>
  <c r="Z9" i="131"/>
  <c r="Z12" i="131"/>
  <c r="Z8" i="131"/>
  <c r="Z11" i="131"/>
  <c r="Z10" i="131"/>
  <c r="Z7" i="131"/>
  <c r="Y69" i="131"/>
  <c r="Y71" i="131"/>
  <c r="Y54" i="131"/>
  <c r="Y51" i="131"/>
  <c r="Y23" i="131"/>
  <c r="Y32" i="131"/>
  <c r="Y33" i="131"/>
  <c r="Y30" i="131"/>
  <c r="Y16" i="131"/>
  <c r="Y17" i="131"/>
  <c r="Y13" i="131"/>
  <c r="Y7" i="131"/>
  <c r="Y107" i="131"/>
  <c r="Y106" i="131"/>
  <c r="Y105" i="131"/>
  <c r="Y104" i="131"/>
  <c r="Y103" i="131"/>
  <c r="Y102" i="131"/>
  <c r="Y101" i="131"/>
  <c r="Y85" i="131"/>
  <c r="Y84" i="131"/>
  <c r="Y83" i="131"/>
  <c r="BN82" i="131"/>
  <c r="BK82" i="131"/>
  <c r="BL82" i="131"/>
  <c r="Y82" i="131"/>
  <c r="Y81" i="131"/>
  <c r="Y80" i="131"/>
  <c r="Y78" i="131"/>
  <c r="Y77" i="131"/>
  <c r="Y76" i="131"/>
  <c r="Y75" i="131"/>
  <c r="Y74" i="131"/>
  <c r="Y73" i="131"/>
  <c r="Y61" i="131"/>
  <c r="Y60" i="131"/>
  <c r="Y63" i="131"/>
  <c r="Y62" i="131"/>
  <c r="Y59" i="131"/>
  <c r="Y58" i="131"/>
  <c r="Y57" i="131"/>
  <c r="Y56" i="131"/>
  <c r="Y48" i="131"/>
  <c r="Y41" i="131"/>
  <c r="Y37" i="131"/>
  <c r="Y36" i="131"/>
  <c r="Y29" i="131"/>
  <c r="Y28" i="131"/>
  <c r="Y26" i="131"/>
  <c r="Y25" i="131"/>
  <c r="Y24" i="131"/>
  <c r="Y118" i="131"/>
  <c r="Y9" i="131"/>
  <c r="Y12" i="131"/>
  <c r="Y8" i="131"/>
  <c r="Y11" i="131"/>
  <c r="Y10" i="131"/>
  <c r="X69" i="131"/>
  <c r="X70" i="131"/>
  <c r="X71" i="131"/>
  <c r="X54" i="131"/>
  <c r="X51" i="131"/>
  <c r="X45" i="131"/>
  <c r="X47" i="131"/>
  <c r="X23" i="131"/>
  <c r="X16" i="131"/>
  <c r="X17" i="131" s="1"/>
  <c r="X13" i="131"/>
  <c r="X7" i="131"/>
  <c r="X14" i="131"/>
  <c r="X107" i="131"/>
  <c r="X106" i="131"/>
  <c r="X105" i="131"/>
  <c r="X104" i="131"/>
  <c r="X103" i="131"/>
  <c r="X102" i="131"/>
  <c r="X101" i="131"/>
  <c r="X85" i="131"/>
  <c r="X84" i="131"/>
  <c r="X83" i="131"/>
  <c r="BI82" i="131"/>
  <c r="X82" i="131" s="1"/>
  <c r="X81" i="131"/>
  <c r="X80" i="131"/>
  <c r="X78" i="131"/>
  <c r="X77" i="131"/>
  <c r="X76" i="131"/>
  <c r="X75" i="131"/>
  <c r="X74" i="131"/>
  <c r="X73" i="131"/>
  <c r="X61" i="131"/>
  <c r="X60" i="131"/>
  <c r="X63" i="131"/>
  <c r="X62" i="131"/>
  <c r="X59" i="131"/>
  <c r="X58" i="131"/>
  <c r="X57" i="131"/>
  <c r="X56" i="131"/>
  <c r="X48" i="131"/>
  <c r="X41" i="131"/>
  <c r="X38" i="131"/>
  <c r="X37" i="131"/>
  <c r="X36" i="131"/>
  <c r="X29" i="131"/>
  <c r="X28" i="131"/>
  <c r="X26" i="131"/>
  <c r="X25" i="131"/>
  <c r="X24" i="131"/>
  <c r="X118" i="131"/>
  <c r="X9" i="131"/>
  <c r="X12" i="131"/>
  <c r="X8" i="131"/>
  <c r="X11" i="131"/>
  <c r="X10" i="131"/>
  <c r="W107" i="131"/>
  <c r="W106" i="131"/>
  <c r="W105" i="131"/>
  <c r="W104" i="131"/>
  <c r="W103" i="131"/>
  <c r="W102" i="131"/>
  <c r="W101" i="131"/>
  <c r="W98" i="131"/>
  <c r="W99" i="131"/>
  <c r="W96" i="131"/>
  <c r="W95" i="131"/>
  <c r="W97" i="131"/>
  <c r="W85" i="131"/>
  <c r="W84" i="131"/>
  <c r="W83" i="131"/>
  <c r="BR82" i="131"/>
  <c r="W82" i="131"/>
  <c r="W81" i="131"/>
  <c r="W80" i="131"/>
  <c r="W78" i="131"/>
  <c r="W77" i="131"/>
  <c r="W76" i="131"/>
  <c r="W75" i="131"/>
  <c r="W74" i="131"/>
  <c r="W73" i="131"/>
  <c r="BR71" i="131"/>
  <c r="W71" i="131"/>
  <c r="W70" i="131"/>
  <c r="W69" i="131"/>
  <c r="W61" i="131"/>
  <c r="W60" i="131"/>
  <c r="W63" i="131"/>
  <c r="W62" i="131"/>
  <c r="W59" i="131"/>
  <c r="W58" i="131"/>
  <c r="W57" i="131"/>
  <c r="W56" i="131"/>
  <c r="W54" i="131"/>
  <c r="W53" i="131"/>
  <c r="W51" i="131"/>
  <c r="W50" i="131"/>
  <c r="W49" i="131"/>
  <c r="W48" i="131"/>
  <c r="W47" i="131"/>
  <c r="W46" i="131"/>
  <c r="W45" i="131"/>
  <c r="W44" i="131"/>
  <c r="W43" i="131"/>
  <c r="W42" i="131"/>
  <c r="W41" i="131"/>
  <c r="W39" i="131"/>
  <c r="W38" i="131"/>
  <c r="W37" i="131"/>
  <c r="W36" i="131"/>
  <c r="BR33" i="131"/>
  <c r="W33" i="131"/>
  <c r="W32" i="131"/>
  <c r="W31" i="131"/>
  <c r="BR30" i="131"/>
  <c r="W30" i="131"/>
  <c r="W29" i="131"/>
  <c r="W28" i="131"/>
  <c r="W26" i="131"/>
  <c r="W25" i="131"/>
  <c r="W24" i="131"/>
  <c r="W23" i="131"/>
  <c r="W17" i="131"/>
  <c r="W118" i="131"/>
  <c r="W16" i="131"/>
  <c r="BR14" i="131"/>
  <c r="W14" i="131"/>
  <c r="W13" i="131"/>
  <c r="W9" i="131"/>
  <c r="W12" i="131"/>
  <c r="W8" i="131"/>
  <c r="W11" i="131"/>
  <c r="W10" i="131"/>
  <c r="W7" i="131"/>
  <c r="P85" i="131"/>
  <c r="P84" i="131"/>
  <c r="P83" i="131"/>
  <c r="V69" i="131"/>
  <c r="V71" i="131" s="1"/>
  <c r="V70" i="131"/>
  <c r="V53" i="131"/>
  <c r="V51" i="131"/>
  <c r="V23" i="131"/>
  <c r="V32" i="131"/>
  <c r="V31" i="131"/>
  <c r="V33" i="131"/>
  <c r="V30" i="131"/>
  <c r="V16" i="131"/>
  <c r="V17" i="131"/>
  <c r="V13" i="131"/>
  <c r="V7" i="131"/>
  <c r="V14" i="131"/>
  <c r="V107" i="131"/>
  <c r="V106" i="131"/>
  <c r="V105" i="131"/>
  <c r="V104" i="131"/>
  <c r="V103" i="131"/>
  <c r="V102" i="131"/>
  <c r="V101" i="131"/>
  <c r="V85" i="131"/>
  <c r="V84" i="131"/>
  <c r="V83" i="131"/>
  <c r="BG82" i="131"/>
  <c r="V82" i="131"/>
  <c r="V81" i="131"/>
  <c r="V80" i="131"/>
  <c r="V78" i="131"/>
  <c r="V77" i="131"/>
  <c r="V76" i="131"/>
  <c r="V75" i="131"/>
  <c r="V74" i="131"/>
  <c r="V73" i="131"/>
  <c r="V61" i="131"/>
  <c r="V60" i="131"/>
  <c r="V63" i="131"/>
  <c r="V62" i="131"/>
  <c r="V59" i="131"/>
  <c r="V58" i="131"/>
  <c r="V57" i="131"/>
  <c r="V56" i="131"/>
  <c r="V49" i="131"/>
  <c r="V48" i="131"/>
  <c r="V43" i="131"/>
  <c r="V41" i="131"/>
  <c r="V39" i="131"/>
  <c r="V38" i="131"/>
  <c r="V37" i="131"/>
  <c r="V36" i="131"/>
  <c r="V29" i="131"/>
  <c r="V28" i="131"/>
  <c r="V26" i="131"/>
  <c r="V25" i="131"/>
  <c r="V24" i="131"/>
  <c r="V118" i="131"/>
  <c r="V9" i="131"/>
  <c r="V12" i="131"/>
  <c r="V8" i="131"/>
  <c r="V11" i="131"/>
  <c r="V10" i="131"/>
  <c r="U107" i="131"/>
  <c r="T107" i="131"/>
  <c r="S107" i="131"/>
  <c r="U106" i="131"/>
  <c r="T106" i="131"/>
  <c r="S106" i="131"/>
  <c r="U105" i="131"/>
  <c r="T105" i="131"/>
  <c r="S105" i="131"/>
  <c r="U104" i="131"/>
  <c r="T104" i="131"/>
  <c r="S104" i="131"/>
  <c r="U103" i="131"/>
  <c r="T103" i="131"/>
  <c r="S103" i="131"/>
  <c r="U102" i="131"/>
  <c r="T102" i="131"/>
  <c r="S102" i="131"/>
  <c r="U101" i="131"/>
  <c r="T101" i="131"/>
  <c r="S101" i="131"/>
  <c r="U98" i="131"/>
  <c r="T98" i="131"/>
  <c r="S98" i="131"/>
  <c r="U99" i="131"/>
  <c r="T99" i="131"/>
  <c r="S99" i="131"/>
  <c r="U96" i="131"/>
  <c r="T96" i="131"/>
  <c r="S96" i="131"/>
  <c r="U95" i="131"/>
  <c r="T95" i="131"/>
  <c r="S95" i="131"/>
  <c r="U97" i="131"/>
  <c r="T97" i="131"/>
  <c r="S97" i="131"/>
  <c r="U85" i="131"/>
  <c r="T85" i="131"/>
  <c r="S85" i="131"/>
  <c r="U84" i="131"/>
  <c r="T84" i="131"/>
  <c r="S84" i="131"/>
  <c r="U83" i="131"/>
  <c r="T83" i="131"/>
  <c r="S83" i="131"/>
  <c r="BC82" i="131"/>
  <c r="U82" i="131"/>
  <c r="BB82" i="131"/>
  <c r="T82" i="131" s="1"/>
  <c r="AV82" i="131"/>
  <c r="S82" i="131"/>
  <c r="U81" i="131"/>
  <c r="T81" i="131"/>
  <c r="S81" i="131"/>
  <c r="U80" i="131"/>
  <c r="T80" i="131"/>
  <c r="S80" i="131"/>
  <c r="U78" i="131"/>
  <c r="T78" i="131"/>
  <c r="S78" i="131"/>
  <c r="U77" i="131"/>
  <c r="T77" i="131"/>
  <c r="S77" i="131"/>
  <c r="U76" i="131"/>
  <c r="T76" i="131"/>
  <c r="S76" i="131"/>
  <c r="U75" i="131"/>
  <c r="T75" i="131"/>
  <c r="S75" i="131"/>
  <c r="U74" i="131"/>
  <c r="T74" i="131"/>
  <c r="S74" i="131"/>
  <c r="U73" i="131"/>
  <c r="T73" i="131"/>
  <c r="S73" i="131"/>
  <c r="BC71" i="131"/>
  <c r="U71" i="131"/>
  <c r="BB71" i="131"/>
  <c r="T71" i="131" s="1"/>
  <c r="AV71" i="131"/>
  <c r="S71" i="131"/>
  <c r="U70" i="131"/>
  <c r="T70" i="131"/>
  <c r="S70" i="131"/>
  <c r="U69" i="131"/>
  <c r="T69" i="131"/>
  <c r="S69" i="131"/>
  <c r="U61" i="131"/>
  <c r="T61" i="131"/>
  <c r="S61" i="131"/>
  <c r="U60" i="131"/>
  <c r="T60" i="131"/>
  <c r="S60" i="131"/>
  <c r="U63" i="131"/>
  <c r="T63" i="131"/>
  <c r="S63" i="131"/>
  <c r="U62" i="131"/>
  <c r="T62" i="131"/>
  <c r="S62" i="131"/>
  <c r="U59" i="131"/>
  <c r="T59" i="131"/>
  <c r="S59" i="131"/>
  <c r="U58" i="131"/>
  <c r="T58" i="131"/>
  <c r="S58" i="131"/>
  <c r="U57" i="131"/>
  <c r="T57" i="131"/>
  <c r="S57" i="131"/>
  <c r="U56" i="131"/>
  <c r="T56" i="131"/>
  <c r="S56" i="131"/>
  <c r="U54" i="131"/>
  <c r="T54" i="131"/>
  <c r="S54" i="131"/>
  <c r="U53" i="131"/>
  <c r="T53" i="131"/>
  <c r="U51" i="131"/>
  <c r="U50" i="131"/>
  <c r="T50" i="131"/>
  <c r="S50" i="131"/>
  <c r="U49" i="131"/>
  <c r="T49" i="131"/>
  <c r="S49" i="131"/>
  <c r="U48" i="131"/>
  <c r="T48" i="131"/>
  <c r="S48" i="131"/>
  <c r="U47" i="131"/>
  <c r="T47" i="131"/>
  <c r="S47" i="131"/>
  <c r="U46" i="131"/>
  <c r="T46" i="131"/>
  <c r="S46" i="131"/>
  <c r="U45" i="131"/>
  <c r="T45" i="131"/>
  <c r="S45" i="131"/>
  <c r="U44" i="131"/>
  <c r="T44" i="131"/>
  <c r="S44" i="131"/>
  <c r="U43" i="131"/>
  <c r="T43" i="131"/>
  <c r="S43" i="131"/>
  <c r="U42" i="131"/>
  <c r="T42" i="131"/>
  <c r="S42" i="131"/>
  <c r="U41" i="131"/>
  <c r="T41" i="131"/>
  <c r="S41" i="131"/>
  <c r="U39" i="131"/>
  <c r="T39" i="131"/>
  <c r="S39" i="131"/>
  <c r="U38" i="131"/>
  <c r="T38" i="131"/>
  <c r="S38" i="131"/>
  <c r="U37" i="131"/>
  <c r="T37" i="131"/>
  <c r="S37" i="131"/>
  <c r="U36" i="131"/>
  <c r="T36" i="131"/>
  <c r="S36" i="131"/>
  <c r="BC33" i="131"/>
  <c r="U33" i="131" s="1"/>
  <c r="BB33" i="131"/>
  <c r="T33" i="131"/>
  <c r="AV33" i="131"/>
  <c r="S33" i="131"/>
  <c r="U32" i="131"/>
  <c r="T32" i="131"/>
  <c r="S32" i="131"/>
  <c r="U31" i="131"/>
  <c r="T31" i="131"/>
  <c r="S31" i="131"/>
  <c r="BC30" i="131"/>
  <c r="U30" i="131"/>
  <c r="BB30" i="131"/>
  <c r="T30" i="131"/>
  <c r="AV30" i="131"/>
  <c r="S30" i="131"/>
  <c r="U29" i="131"/>
  <c r="T29" i="131"/>
  <c r="S29" i="131"/>
  <c r="U28" i="131"/>
  <c r="T28" i="131"/>
  <c r="S28" i="131"/>
  <c r="U26" i="131"/>
  <c r="T26" i="131"/>
  <c r="S26" i="131"/>
  <c r="U25" i="131"/>
  <c r="T25" i="131"/>
  <c r="S25" i="131"/>
  <c r="U24" i="131"/>
  <c r="T24" i="131"/>
  <c r="S24" i="131"/>
  <c r="U23" i="131"/>
  <c r="T23" i="131"/>
  <c r="S23" i="131"/>
  <c r="U17" i="131"/>
  <c r="T17" i="131"/>
  <c r="S17" i="131"/>
  <c r="U118" i="131"/>
  <c r="T118" i="131"/>
  <c r="S118" i="131"/>
  <c r="U16" i="131"/>
  <c r="T16" i="131"/>
  <c r="S16" i="131"/>
  <c r="BC14" i="131"/>
  <c r="U14" i="131" s="1"/>
  <c r="BB14" i="131"/>
  <c r="T14" i="131"/>
  <c r="AV14" i="131"/>
  <c r="S14" i="131"/>
  <c r="U13" i="131"/>
  <c r="T13" i="131"/>
  <c r="S13" i="131"/>
  <c r="U9" i="131"/>
  <c r="T9" i="131"/>
  <c r="S9" i="131"/>
  <c r="U12" i="131"/>
  <c r="T12" i="131"/>
  <c r="S12" i="131"/>
  <c r="U8" i="131"/>
  <c r="T8" i="131"/>
  <c r="S8" i="131"/>
  <c r="U11" i="131"/>
  <c r="T11" i="131"/>
  <c r="S11" i="131"/>
  <c r="U10" i="131"/>
  <c r="T10" i="131"/>
  <c r="S10" i="131"/>
  <c r="U7" i="131"/>
  <c r="T7" i="131"/>
  <c r="S7" i="131"/>
  <c r="R71" i="131"/>
  <c r="R53" i="131"/>
  <c r="R51" i="131"/>
  <c r="Q107" i="131"/>
  <c r="Q106" i="131"/>
  <c r="Q105" i="131"/>
  <c r="Q104" i="131"/>
  <c r="Q103" i="131"/>
  <c r="Q102" i="131"/>
  <c r="Q101" i="131"/>
  <c r="Q98" i="131"/>
  <c r="Q99" i="131"/>
  <c r="Q96" i="131"/>
  <c r="Q95" i="131"/>
  <c r="Q97" i="131"/>
  <c r="Q85" i="131"/>
  <c r="Q84" i="131"/>
  <c r="Q83" i="131"/>
  <c r="AU82" i="131"/>
  <c r="Q82" i="131"/>
  <c r="Q81" i="131"/>
  <c r="Q80" i="131"/>
  <c r="Q78" i="131"/>
  <c r="Q77" i="131"/>
  <c r="Q76" i="131"/>
  <c r="Q75" i="131"/>
  <c r="Q74" i="131"/>
  <c r="Q73" i="131"/>
  <c r="AU71" i="131"/>
  <c r="Q71" i="131"/>
  <c r="Q70" i="131"/>
  <c r="Q69" i="131"/>
  <c r="Q61" i="131"/>
  <c r="Q60" i="131"/>
  <c r="Q63" i="131"/>
  <c r="Q62" i="131"/>
  <c r="Q59" i="131"/>
  <c r="Q58" i="131"/>
  <c r="Q57" i="131"/>
  <c r="Q56" i="131"/>
  <c r="Q54" i="131"/>
  <c r="Q53" i="131"/>
  <c r="Q50" i="131"/>
  <c r="Q49" i="131"/>
  <c r="Q48" i="131"/>
  <c r="Q47" i="131"/>
  <c r="Q46" i="131"/>
  <c r="Q45" i="131"/>
  <c r="Q44" i="131"/>
  <c r="Q43" i="131"/>
  <c r="Q42" i="131"/>
  <c r="Q41" i="131"/>
  <c r="Q39" i="131"/>
  <c r="Q38" i="131"/>
  <c r="Q37" i="131"/>
  <c r="Q36" i="131"/>
  <c r="AU33" i="131"/>
  <c r="Q33" i="131"/>
  <c r="Q32" i="131"/>
  <c r="Q31" i="131"/>
  <c r="AU30" i="131"/>
  <c r="Q30" i="131"/>
  <c r="Q29" i="131"/>
  <c r="Q28" i="131"/>
  <c r="Q26" i="131"/>
  <c r="Q25" i="131"/>
  <c r="Q24" i="131"/>
  <c r="Q23" i="131"/>
  <c r="Q22" i="131"/>
  <c r="Q17" i="131"/>
  <c r="Q118" i="131"/>
  <c r="Q16" i="131"/>
  <c r="AU14" i="131"/>
  <c r="Q14" i="131"/>
  <c r="Q13" i="131"/>
  <c r="Q9" i="131"/>
  <c r="Q12" i="131"/>
  <c r="Q8" i="131"/>
  <c r="Q11" i="131"/>
  <c r="Q10" i="131"/>
  <c r="Q7" i="131"/>
  <c r="P81" i="131"/>
  <c r="P80" i="131"/>
  <c r="P82" i="131"/>
  <c r="P69" i="131"/>
  <c r="P70" i="131"/>
  <c r="P71" i="131"/>
  <c r="P54" i="131"/>
  <c r="P23" i="131"/>
  <c r="P32" i="131"/>
  <c r="P33" i="131"/>
  <c r="P31" i="131"/>
  <c r="P30" i="131"/>
  <c r="P16" i="131"/>
  <c r="P17" i="131"/>
  <c r="P13" i="131"/>
  <c r="P14" i="131" s="1"/>
  <c r="P7" i="131"/>
  <c r="P107" i="131"/>
  <c r="P106" i="131"/>
  <c r="P105" i="131"/>
  <c r="P104" i="131"/>
  <c r="P103" i="131"/>
  <c r="P102" i="131"/>
  <c r="P101" i="131"/>
  <c r="AZ82" i="131"/>
  <c r="BA82" i="131"/>
  <c r="P78" i="131"/>
  <c r="P77" i="131"/>
  <c r="P76" i="131"/>
  <c r="P75" i="131"/>
  <c r="P74" i="131"/>
  <c r="P73" i="131"/>
  <c r="AZ71" i="131"/>
  <c r="BA71" i="131"/>
  <c r="P39" i="131"/>
  <c r="P38" i="131"/>
  <c r="P37" i="131"/>
  <c r="P36" i="131"/>
  <c r="AZ33" i="131"/>
  <c r="BA33" i="131"/>
  <c r="AZ30" i="131"/>
  <c r="BA30" i="131"/>
  <c r="P29" i="131"/>
  <c r="P28" i="131"/>
  <c r="P26" i="131"/>
  <c r="P25" i="131"/>
  <c r="P24" i="131"/>
  <c r="P118" i="131"/>
  <c r="AZ14" i="131"/>
  <c r="BA14" i="131"/>
  <c r="P9" i="131"/>
  <c r="P12" i="131"/>
  <c r="P8" i="131"/>
  <c r="P11" i="131"/>
  <c r="P10" i="131"/>
  <c r="O107" i="131"/>
  <c r="O106" i="131"/>
  <c r="O105" i="131"/>
  <c r="O104" i="131"/>
  <c r="O103" i="131"/>
  <c r="O102" i="131"/>
  <c r="O101" i="131"/>
  <c r="O98" i="131"/>
  <c r="O99" i="131"/>
  <c r="O96" i="131"/>
  <c r="O95" i="131"/>
  <c r="O97" i="131"/>
  <c r="O85" i="131"/>
  <c r="O84" i="131"/>
  <c r="O83" i="131"/>
  <c r="BE82" i="131"/>
  <c r="O82" i="131" s="1"/>
  <c r="O81" i="131"/>
  <c r="O80" i="131"/>
  <c r="O78" i="131"/>
  <c r="O77" i="131"/>
  <c r="O76" i="131"/>
  <c r="O75" i="131"/>
  <c r="O74" i="131"/>
  <c r="O73" i="131"/>
  <c r="BE71" i="131"/>
  <c r="O71" i="131" s="1"/>
  <c r="O70" i="131"/>
  <c r="O69" i="131"/>
  <c r="O61" i="131"/>
  <c r="O60" i="131"/>
  <c r="O63" i="131"/>
  <c r="O62" i="131"/>
  <c r="O59" i="131"/>
  <c r="O58" i="131"/>
  <c r="O57" i="131"/>
  <c r="O56" i="131"/>
  <c r="O54" i="131"/>
  <c r="O53" i="131"/>
  <c r="O51" i="131"/>
  <c r="O50" i="131"/>
  <c r="O49" i="131"/>
  <c r="O48" i="131"/>
  <c r="O47" i="131"/>
  <c r="O46" i="131"/>
  <c r="O45" i="131"/>
  <c r="O44" i="131"/>
  <c r="O43" i="131"/>
  <c r="O42" i="131"/>
  <c r="O41" i="131"/>
  <c r="O39" i="131"/>
  <c r="O38" i="131"/>
  <c r="O37" i="131"/>
  <c r="O36" i="131"/>
  <c r="BE33" i="131"/>
  <c r="O33" i="131"/>
  <c r="O32" i="131"/>
  <c r="O31" i="131"/>
  <c r="BE30" i="131"/>
  <c r="O30" i="131"/>
  <c r="O29" i="131"/>
  <c r="O28" i="131"/>
  <c r="O26" i="131"/>
  <c r="O25" i="131"/>
  <c r="O24" i="131"/>
  <c r="O23" i="131"/>
  <c r="O17" i="131"/>
  <c r="O118" i="131"/>
  <c r="O16" i="131"/>
  <c r="BE14" i="131"/>
  <c r="O14" i="131"/>
  <c r="O13" i="131"/>
  <c r="N107" i="131"/>
  <c r="N106" i="131"/>
  <c r="N105" i="131"/>
  <c r="N104" i="131"/>
  <c r="N103" i="131"/>
  <c r="N102" i="131"/>
  <c r="N101" i="131"/>
  <c r="N98" i="131"/>
  <c r="N99" i="131"/>
  <c r="N96" i="131"/>
  <c r="N95" i="131"/>
  <c r="N97" i="131"/>
  <c r="N85" i="131"/>
  <c r="N84" i="131"/>
  <c r="N83" i="131"/>
  <c r="AW82" i="131"/>
  <c r="N82" i="131"/>
  <c r="N81" i="131"/>
  <c r="N80" i="131"/>
  <c r="N78" i="131"/>
  <c r="N77" i="131"/>
  <c r="N76" i="131"/>
  <c r="N75" i="131"/>
  <c r="N74" i="131"/>
  <c r="N73" i="131"/>
  <c r="AW71" i="131"/>
  <c r="N71" i="131"/>
  <c r="N70" i="131"/>
  <c r="N69" i="131"/>
  <c r="N61" i="131"/>
  <c r="N60" i="131"/>
  <c r="N63" i="131"/>
  <c r="N62" i="131"/>
  <c r="N59" i="131"/>
  <c r="N58" i="131"/>
  <c r="N57" i="131"/>
  <c r="N56" i="131"/>
  <c r="N54" i="131"/>
  <c r="N53" i="131"/>
  <c r="N51" i="131"/>
  <c r="N50" i="131"/>
  <c r="N49" i="131"/>
  <c r="N48" i="131"/>
  <c r="N47" i="131"/>
  <c r="N46" i="131"/>
  <c r="N45" i="131"/>
  <c r="N44" i="131"/>
  <c r="N43" i="131"/>
  <c r="N42" i="131"/>
  <c r="N41" i="131"/>
  <c r="N39" i="131"/>
  <c r="N38" i="131"/>
  <c r="N37" i="131"/>
  <c r="N36" i="131"/>
  <c r="AW33" i="131"/>
  <c r="N33" i="131"/>
  <c r="N32" i="131"/>
  <c r="N31" i="131"/>
  <c r="AW30" i="131"/>
  <c r="N30" i="131" s="1"/>
  <c r="N29" i="131"/>
  <c r="N28" i="131"/>
  <c r="N26" i="131"/>
  <c r="N25" i="131"/>
  <c r="N24" i="131"/>
  <c r="N23" i="131"/>
  <c r="N17" i="131"/>
  <c r="N118" i="131"/>
  <c r="N16" i="131"/>
  <c r="AW14" i="131"/>
  <c r="N14" i="131" s="1"/>
  <c r="N13" i="131"/>
  <c r="M107" i="131"/>
  <c r="M106" i="131"/>
  <c r="M105" i="131"/>
  <c r="M104" i="131"/>
  <c r="M103" i="131"/>
  <c r="M102" i="131"/>
  <c r="M101" i="131"/>
  <c r="M98" i="131"/>
  <c r="M99" i="131"/>
  <c r="M96" i="131"/>
  <c r="M95" i="131"/>
  <c r="M97" i="131"/>
  <c r="M85" i="131"/>
  <c r="M84" i="131"/>
  <c r="M83" i="131"/>
  <c r="BD82" i="131"/>
  <c r="M82" i="131"/>
  <c r="M81" i="131"/>
  <c r="M80" i="131"/>
  <c r="M78" i="131"/>
  <c r="M77" i="131"/>
  <c r="M76" i="131"/>
  <c r="M75" i="131"/>
  <c r="M74" i="131"/>
  <c r="M73" i="131"/>
  <c r="BD71" i="131"/>
  <c r="M71" i="131"/>
  <c r="M70" i="131"/>
  <c r="M69" i="131"/>
  <c r="M61" i="131"/>
  <c r="M60" i="131"/>
  <c r="M63" i="131"/>
  <c r="M62" i="131"/>
  <c r="M59" i="131"/>
  <c r="M58" i="131"/>
  <c r="M57" i="131"/>
  <c r="M56" i="131"/>
  <c r="M54" i="131"/>
  <c r="M51" i="131"/>
  <c r="M50" i="131"/>
  <c r="M49" i="131"/>
  <c r="M48" i="131"/>
  <c r="M47" i="131"/>
  <c r="M46" i="131"/>
  <c r="M45" i="131"/>
  <c r="M44" i="131"/>
  <c r="M43" i="131"/>
  <c r="M42" i="131"/>
  <c r="M41" i="131"/>
  <c r="M39" i="131"/>
  <c r="M38" i="131"/>
  <c r="M37" i="131"/>
  <c r="M36" i="131"/>
  <c r="BD33" i="131"/>
  <c r="M33" i="131"/>
  <c r="M32" i="131"/>
  <c r="M31" i="131"/>
  <c r="BD30" i="131"/>
  <c r="M30" i="131"/>
  <c r="M29" i="131"/>
  <c r="M28" i="131"/>
  <c r="M26" i="131"/>
  <c r="M25" i="131"/>
  <c r="M24" i="131"/>
  <c r="M23" i="131"/>
  <c r="M17" i="131"/>
  <c r="M118" i="131"/>
  <c r="M16" i="131"/>
  <c r="BD14" i="131"/>
  <c r="M14" i="131"/>
  <c r="M13" i="131"/>
  <c r="L107" i="131"/>
  <c r="L106" i="131"/>
  <c r="L105" i="131"/>
  <c r="L104" i="131"/>
  <c r="L103" i="131"/>
  <c r="L102" i="131"/>
  <c r="L101" i="131"/>
  <c r="L98" i="131"/>
  <c r="L99" i="131"/>
  <c r="L96" i="131"/>
  <c r="L95" i="131"/>
  <c r="L97" i="131"/>
  <c r="L85" i="131"/>
  <c r="L84" i="131"/>
  <c r="L83" i="131"/>
  <c r="AY82" i="131"/>
  <c r="L82" i="131" s="1"/>
  <c r="L81" i="131"/>
  <c r="L80" i="131"/>
  <c r="L78" i="131"/>
  <c r="L77" i="131"/>
  <c r="L76" i="131"/>
  <c r="L75" i="131"/>
  <c r="L74" i="131"/>
  <c r="L73" i="131"/>
  <c r="AY71" i="131"/>
  <c r="L71" i="131" s="1"/>
  <c r="L70" i="131"/>
  <c r="L69" i="131"/>
  <c r="L61" i="131"/>
  <c r="L60" i="131"/>
  <c r="L63" i="131"/>
  <c r="L62" i="131"/>
  <c r="L59" i="131"/>
  <c r="L58" i="131"/>
  <c r="L57" i="131"/>
  <c r="L56" i="131"/>
  <c r="L54" i="131"/>
  <c r="L53" i="131"/>
  <c r="L51" i="131"/>
  <c r="L50" i="131"/>
  <c r="L49" i="131"/>
  <c r="L48" i="131"/>
  <c r="L47" i="131"/>
  <c r="L46" i="131"/>
  <c r="L45" i="131"/>
  <c r="L44" i="131"/>
  <c r="L43" i="131"/>
  <c r="L42" i="131"/>
  <c r="L41" i="131"/>
  <c r="L39" i="131"/>
  <c r="L38" i="131"/>
  <c r="L37" i="131"/>
  <c r="L36" i="131"/>
  <c r="AY33" i="131"/>
  <c r="L33" i="131" s="1"/>
  <c r="L32" i="131"/>
  <c r="L31" i="131"/>
  <c r="AY30" i="131"/>
  <c r="L30" i="131"/>
  <c r="L29" i="131"/>
  <c r="L28" i="131"/>
  <c r="L26" i="131"/>
  <c r="L25" i="131"/>
  <c r="L24" i="131"/>
  <c r="L23" i="131"/>
  <c r="L17" i="131"/>
  <c r="L118" i="131"/>
  <c r="L16" i="131"/>
  <c r="AY14" i="131"/>
  <c r="L14" i="131" s="1"/>
  <c r="L13" i="131"/>
  <c r="K107" i="131"/>
  <c r="K106" i="131"/>
  <c r="K105" i="131"/>
  <c r="K104" i="131"/>
  <c r="K103" i="131"/>
  <c r="K102" i="131"/>
  <c r="K101" i="131"/>
  <c r="K98" i="131"/>
  <c r="K99" i="131"/>
  <c r="K96" i="131"/>
  <c r="K95" i="131"/>
  <c r="K97" i="131"/>
  <c r="K85" i="131"/>
  <c r="K84" i="131"/>
  <c r="K83" i="131"/>
  <c r="BF82" i="131"/>
  <c r="K82" i="131"/>
  <c r="K81" i="131"/>
  <c r="K80" i="131"/>
  <c r="K78" i="131"/>
  <c r="K77" i="131"/>
  <c r="K76" i="131"/>
  <c r="K75" i="131"/>
  <c r="K74" i="131"/>
  <c r="K73" i="131"/>
  <c r="BF71" i="131"/>
  <c r="K71" i="131"/>
  <c r="K70" i="131"/>
  <c r="K69" i="131"/>
  <c r="K61" i="131"/>
  <c r="K60" i="131"/>
  <c r="K63" i="131"/>
  <c r="K62" i="131"/>
  <c r="K59" i="131"/>
  <c r="K58" i="131"/>
  <c r="K57" i="131"/>
  <c r="K56" i="131"/>
  <c r="K54" i="131"/>
  <c r="K53" i="131"/>
  <c r="K50" i="131"/>
  <c r="K49" i="131"/>
  <c r="K48" i="131"/>
  <c r="K47" i="131"/>
  <c r="K46" i="131"/>
  <c r="K45" i="131"/>
  <c r="K44" i="131"/>
  <c r="K43" i="131"/>
  <c r="K42" i="131"/>
  <c r="K41" i="131"/>
  <c r="K39" i="131"/>
  <c r="K38" i="131"/>
  <c r="K37" i="131"/>
  <c r="K36" i="131"/>
  <c r="BF33" i="131"/>
  <c r="K33" i="131"/>
  <c r="K32" i="131"/>
  <c r="K31" i="131"/>
  <c r="BF30" i="131"/>
  <c r="K30" i="131"/>
  <c r="K29" i="131"/>
  <c r="K28" i="131"/>
  <c r="K26" i="131"/>
  <c r="K25" i="131"/>
  <c r="K24" i="131"/>
  <c r="K23" i="131"/>
  <c r="K17" i="131"/>
  <c r="K118" i="131"/>
  <c r="K16" i="131"/>
  <c r="BF14" i="131"/>
  <c r="K14" i="131"/>
  <c r="K13" i="131"/>
  <c r="CL54" i="131"/>
  <c r="I54" i="131"/>
  <c r="H54" i="131"/>
  <c r="G54" i="131"/>
  <c r="F54" i="131"/>
  <c r="F82" i="131"/>
  <c r="G82" i="131"/>
  <c r="H82" i="131"/>
  <c r="I82" i="131"/>
  <c r="CL82" i="131"/>
  <c r="AX71" i="131"/>
  <c r="BG71" i="131"/>
  <c r="BJ71" i="131"/>
  <c r="BH71" i="131"/>
  <c r="BI71" i="131"/>
  <c r="BN71" i="131"/>
  <c r="BQ71" i="131"/>
  <c r="BS71" i="131"/>
  <c r="BT71" i="131"/>
  <c r="CG71" i="131"/>
  <c r="F71" i="131"/>
  <c r="G71" i="131"/>
  <c r="H71" i="131"/>
  <c r="I71" i="131"/>
  <c r="CL71" i="131"/>
  <c r="F51" i="131"/>
  <c r="G51" i="131"/>
  <c r="H51" i="131"/>
  <c r="I51" i="131"/>
  <c r="AX33" i="131"/>
  <c r="BG33" i="131"/>
  <c r="BJ33" i="131"/>
  <c r="BH33" i="131"/>
  <c r="BI33" i="131"/>
  <c r="BK33" i="131"/>
  <c r="BL33" i="131"/>
  <c r="BN33" i="131"/>
  <c r="BO33" i="131"/>
  <c r="BQ33" i="131"/>
  <c r="BS33" i="131"/>
  <c r="BT33" i="131"/>
  <c r="CF33" i="131"/>
  <c r="CG33" i="131"/>
  <c r="F33" i="131"/>
  <c r="G33" i="131"/>
  <c r="H33" i="131"/>
  <c r="I33" i="131"/>
  <c r="CL33" i="131"/>
  <c r="BG30" i="131"/>
  <c r="BJ30" i="131"/>
  <c r="BH30" i="131"/>
  <c r="BI30" i="131"/>
  <c r="BK30" i="131"/>
  <c r="BL30" i="131"/>
  <c r="BN30" i="131"/>
  <c r="BO30" i="131"/>
  <c r="BQ30" i="131"/>
  <c r="BS30" i="131"/>
  <c r="BT30" i="131"/>
  <c r="CF30" i="131"/>
  <c r="CG30" i="131"/>
  <c r="F30" i="131"/>
  <c r="G30" i="131"/>
  <c r="H30" i="131"/>
  <c r="I30" i="131"/>
  <c r="CL30" i="131"/>
  <c r="AX30" i="131"/>
  <c r="AX14" i="131"/>
  <c r="BG14" i="131"/>
  <c r="BJ14" i="131"/>
  <c r="BH14" i="131"/>
  <c r="BI14" i="131"/>
  <c r="BK14" i="131"/>
  <c r="BL14" i="131"/>
  <c r="BN14" i="131"/>
  <c r="BO14" i="131"/>
  <c r="BQ14" i="131"/>
  <c r="BS14" i="131"/>
  <c r="BT14" i="131"/>
  <c r="CF14" i="131"/>
  <c r="F14" i="131"/>
  <c r="G14" i="131"/>
  <c r="H14" i="131"/>
  <c r="I14" i="131"/>
  <c r="CL14" i="131"/>
  <c r="Q52" i="131"/>
  <c r="CC65" i="130"/>
  <c r="CD65" i="130"/>
  <c r="CE65" i="130"/>
  <c r="CF65" i="130"/>
  <c r="CG65" i="130"/>
  <c r="CH65" i="130"/>
  <c r="CI65" i="130"/>
  <c r="CJ65" i="130"/>
  <c r="CK65" i="130"/>
  <c r="I65" i="130"/>
  <c r="BS65" i="130"/>
  <c r="BT65" i="130"/>
  <c r="BU65" i="130"/>
  <c r="BV65" i="130"/>
  <c r="BW65" i="130"/>
  <c r="BX65" i="130"/>
  <c r="BY65" i="130"/>
  <c r="BZ65" i="130"/>
  <c r="CA65" i="130"/>
  <c r="CB65" i="130"/>
  <c r="BG65" i="130"/>
  <c r="BH65" i="130"/>
  <c r="BI65" i="130"/>
  <c r="BJ65" i="130"/>
  <c r="BK65" i="130"/>
  <c r="BL65" i="130"/>
  <c r="BM65" i="130"/>
  <c r="BN65" i="130"/>
  <c r="BO65" i="130"/>
  <c r="BP65" i="130"/>
  <c r="BQ65" i="130"/>
  <c r="BR65" i="130"/>
  <c r="AT65" i="130"/>
  <c r="AU65" i="130"/>
  <c r="AV65" i="130"/>
  <c r="AW65" i="130"/>
  <c r="AX65" i="130"/>
  <c r="AY65" i="130"/>
  <c r="AZ65" i="130"/>
  <c r="BA65" i="130"/>
  <c r="BB65" i="130"/>
  <c r="BC65" i="130"/>
  <c r="BD65" i="130"/>
  <c r="BE65" i="130"/>
  <c r="BF65" i="130"/>
  <c r="AS19" i="130"/>
  <c r="AR19" i="130"/>
  <c r="AQ19" i="130"/>
  <c r="AP19" i="130"/>
  <c r="AO19" i="130"/>
  <c r="AN19" i="130"/>
  <c r="AM19" i="130"/>
  <c r="AL19" i="130"/>
  <c r="AK19" i="130"/>
  <c r="AJ19" i="130"/>
  <c r="AI19" i="130"/>
  <c r="AH19" i="130"/>
  <c r="AG19" i="130"/>
  <c r="AF19" i="130"/>
  <c r="AE19" i="130"/>
  <c r="AD19" i="130"/>
  <c r="AC19" i="130"/>
  <c r="AB19" i="130"/>
  <c r="AA19" i="130"/>
  <c r="Z19" i="130"/>
  <c r="Y19" i="130"/>
  <c r="X19" i="130"/>
  <c r="W19" i="130"/>
  <c r="V19" i="130"/>
  <c r="U19" i="130"/>
  <c r="T19" i="130"/>
  <c r="S19" i="130"/>
  <c r="R19" i="130"/>
  <c r="Q19" i="130"/>
  <c r="P19" i="130"/>
  <c r="O19" i="130"/>
  <c r="N19" i="130"/>
  <c r="M19" i="130"/>
  <c r="L19" i="130"/>
  <c r="K19" i="130"/>
  <c r="AS18" i="130"/>
  <c r="AR18" i="130"/>
  <c r="AQ18" i="130"/>
  <c r="AP18" i="130"/>
  <c r="AO18" i="130"/>
  <c r="AN18" i="130"/>
  <c r="AM18" i="130"/>
  <c r="AL18" i="130"/>
  <c r="AK18" i="130"/>
  <c r="AJ18" i="130"/>
  <c r="AI18" i="130"/>
  <c r="AH18" i="130"/>
  <c r="AG18" i="130"/>
  <c r="AF18" i="130"/>
  <c r="AE18" i="130"/>
  <c r="AD18" i="130"/>
  <c r="AC18" i="130"/>
  <c r="AB18" i="130"/>
  <c r="AA18" i="130"/>
  <c r="Z18" i="130"/>
  <c r="Y18" i="130"/>
  <c r="X18" i="130"/>
  <c r="W18" i="130"/>
  <c r="V18" i="130"/>
  <c r="U18" i="130"/>
  <c r="T18" i="130"/>
  <c r="S18" i="130"/>
  <c r="R18" i="130"/>
  <c r="Q18" i="130"/>
  <c r="P18" i="130"/>
  <c r="O18" i="130"/>
  <c r="N18" i="130"/>
  <c r="M18" i="130"/>
  <c r="L18" i="130"/>
  <c r="K18" i="130"/>
  <c r="A71" i="130"/>
  <c r="A72" i="130"/>
  <c r="A73" i="130"/>
  <c r="A74" i="130"/>
  <c r="A75" i="130"/>
  <c r="A76" i="130"/>
  <c r="A77" i="130"/>
  <c r="A78" i="130"/>
  <c r="A79" i="130"/>
  <c r="A80" i="130"/>
  <c r="A81" i="130"/>
  <c r="A82" i="130"/>
  <c r="A83" i="130"/>
  <c r="A84" i="130"/>
  <c r="A85" i="130"/>
  <c r="A86" i="130"/>
  <c r="A87" i="130"/>
  <c r="A88" i="130"/>
  <c r="A89" i="130"/>
  <c r="A90" i="130"/>
  <c r="A91" i="130"/>
  <c r="A92" i="130"/>
  <c r="A93" i="130"/>
  <c r="A94" i="130"/>
  <c r="A95" i="130"/>
  <c r="A96" i="130"/>
  <c r="A97" i="130"/>
  <c r="A98" i="130"/>
  <c r="A99" i="130"/>
  <c r="A100" i="130"/>
  <c r="A101" i="130"/>
  <c r="A102" i="130"/>
  <c r="A103" i="130"/>
  <c r="A104" i="130"/>
  <c r="A105" i="130"/>
  <c r="A106" i="130"/>
  <c r="A107" i="130"/>
  <c r="A26" i="130"/>
  <c r="A27" i="130"/>
  <c r="A28" i="130"/>
  <c r="A29" i="130"/>
  <c r="A30" i="130"/>
  <c r="A31" i="130"/>
  <c r="A32" i="130"/>
  <c r="A33" i="130"/>
  <c r="A34" i="130"/>
  <c r="A35" i="130"/>
  <c r="A36" i="130"/>
  <c r="A37" i="130"/>
  <c r="A38" i="130"/>
  <c r="A39" i="130"/>
  <c r="A40" i="130"/>
  <c r="A41" i="130"/>
  <c r="A42" i="130"/>
  <c r="A43" i="130"/>
  <c r="A44" i="130"/>
  <c r="A45" i="130"/>
  <c r="A46" i="130"/>
  <c r="A47" i="130"/>
  <c r="A48" i="130"/>
  <c r="A49" i="130"/>
  <c r="A50" i="130"/>
  <c r="A51" i="130"/>
  <c r="A52" i="130"/>
  <c r="A53" i="130"/>
  <c r="A54" i="130"/>
  <c r="A55" i="130"/>
  <c r="A56" i="130"/>
  <c r="A57" i="130"/>
  <c r="A58" i="130"/>
  <c r="A59" i="130"/>
  <c r="A60" i="130"/>
  <c r="A61" i="130"/>
  <c r="A62" i="130"/>
  <c r="A63" i="130"/>
  <c r="A64" i="130"/>
  <c r="A65" i="130"/>
  <c r="A66" i="130"/>
  <c r="A67" i="130"/>
  <c r="A68" i="130"/>
  <c r="A69" i="130"/>
  <c r="A70" i="130"/>
  <c r="A15" i="130"/>
  <c r="A16" i="130"/>
  <c r="A17" i="130"/>
  <c r="A18" i="130"/>
  <c r="A19" i="130"/>
  <c r="A20" i="130"/>
  <c r="A21" i="130"/>
  <c r="A22" i="130"/>
  <c r="A23" i="130"/>
  <c r="A24" i="130"/>
  <c r="A25" i="130"/>
  <c r="AS67" i="130"/>
  <c r="AR67" i="130"/>
  <c r="AQ67" i="130"/>
  <c r="AP67" i="130"/>
  <c r="AO67" i="130"/>
  <c r="CJ67" i="130"/>
  <c r="AN67" i="130"/>
  <c r="AM67" i="130"/>
  <c r="AL67" i="130"/>
  <c r="AK67" i="130"/>
  <c r="AJ67" i="130"/>
  <c r="AI67" i="130"/>
  <c r="AH67" i="130"/>
  <c r="AG67" i="130"/>
  <c r="AF67" i="130"/>
  <c r="BT67" i="130"/>
  <c r="AE67" i="130"/>
  <c r="AD67" i="130"/>
  <c r="AC67" i="130"/>
  <c r="AB67" i="130"/>
  <c r="AA67" i="130"/>
  <c r="Z67" i="130"/>
  <c r="Y67" i="130"/>
  <c r="X67" i="130"/>
  <c r="W67" i="130"/>
  <c r="V67" i="130"/>
  <c r="U67" i="130"/>
  <c r="T67" i="130"/>
  <c r="S67" i="130"/>
  <c r="R67" i="130"/>
  <c r="Q67" i="130"/>
  <c r="P67" i="130"/>
  <c r="O67" i="130"/>
  <c r="N67" i="130"/>
  <c r="M67" i="130"/>
  <c r="L67" i="130"/>
  <c r="K67" i="130"/>
  <c r="CG66" i="130"/>
  <c r="AS66" i="130" s="1"/>
  <c r="CI66" i="130"/>
  <c r="AR66" i="130"/>
  <c r="CK66" i="130"/>
  <c r="AQ66" i="130"/>
  <c r="CD66" i="130"/>
  <c r="AP66" i="130"/>
  <c r="CC66" i="130"/>
  <c r="AO66" i="130"/>
  <c r="CJ66" i="130"/>
  <c r="AN66" i="130" s="1"/>
  <c r="CH66" i="130"/>
  <c r="AM66" i="130"/>
  <c r="CE66" i="130"/>
  <c r="AL66" i="130"/>
  <c r="CB66" i="130"/>
  <c r="AK66" i="130" s="1"/>
  <c r="BY66" i="130"/>
  <c r="AJ66" i="130"/>
  <c r="BW66" i="130"/>
  <c r="AI66" i="130" s="1"/>
  <c r="BZ66" i="130"/>
  <c r="AH66" i="130" s="1"/>
  <c r="BV66" i="130"/>
  <c r="AG66" i="130"/>
  <c r="CA66" i="130"/>
  <c r="AF66" i="130"/>
  <c r="BT66" i="130"/>
  <c r="AE66" i="130"/>
  <c r="BU66" i="130"/>
  <c r="BX66" i="130"/>
  <c r="AC66" i="130"/>
  <c r="BP66" i="130"/>
  <c r="G66" i="130" s="1"/>
  <c r="AB66" i="130"/>
  <c r="BQ66" i="130"/>
  <c r="AA66" i="130" s="1"/>
  <c r="Z66" i="130"/>
  <c r="Y66" i="130"/>
  <c r="X66" i="130"/>
  <c r="BR66" i="130"/>
  <c r="W66" i="130" s="1"/>
  <c r="BJ66" i="130"/>
  <c r="V66" i="130"/>
  <c r="U66" i="130"/>
  <c r="T66" i="130"/>
  <c r="AV66" i="130"/>
  <c r="S66" i="130"/>
  <c r="R66" i="130"/>
  <c r="Q66" i="130"/>
  <c r="BA66" i="130"/>
  <c r="P66" i="130" s="1"/>
  <c r="O66" i="130"/>
  <c r="AW66" i="130"/>
  <c r="N66" i="130"/>
  <c r="M66" i="130"/>
  <c r="L66" i="130"/>
  <c r="BF66" i="130"/>
  <c r="K66" i="130"/>
  <c r="CL67" i="130"/>
  <c r="F67" i="130"/>
  <c r="G67" i="130"/>
  <c r="H67" i="130"/>
  <c r="I67" i="130"/>
  <c r="F66" i="130"/>
  <c r="C51" i="130"/>
  <c r="B31" i="130"/>
  <c r="AA42" i="130"/>
  <c r="CL44" i="130"/>
  <c r="CK44" i="130"/>
  <c r="CJ44" i="130"/>
  <c r="AN44" i="130" s="1"/>
  <c r="CI44" i="130"/>
  <c r="CH44" i="130"/>
  <c r="CG44" i="130"/>
  <c r="CF44" i="130"/>
  <c r="AS44" i="130" s="1"/>
  <c r="CE44" i="130"/>
  <c r="AL44" i="130" s="1"/>
  <c r="CD44" i="130"/>
  <c r="CC44" i="130"/>
  <c r="CB44" i="130"/>
  <c r="CA44" i="130"/>
  <c r="BZ44" i="130"/>
  <c r="AH44" i="130" s="1"/>
  <c r="BY44" i="130"/>
  <c r="BX44" i="130"/>
  <c r="BW44" i="130"/>
  <c r="BV44" i="130"/>
  <c r="BU44" i="130"/>
  <c r="BT44" i="130"/>
  <c r="BS44" i="130"/>
  <c r="BR44" i="130"/>
  <c r="BQ44" i="130"/>
  <c r="BP44" i="130"/>
  <c r="AB44" i="130" s="1"/>
  <c r="BN44" i="130"/>
  <c r="BM44" i="130"/>
  <c r="BK44" i="130"/>
  <c r="BJ44" i="130"/>
  <c r="BI44" i="130"/>
  <c r="BF44" i="130"/>
  <c r="BE44" i="130"/>
  <c r="BD44" i="130"/>
  <c r="BC44" i="130"/>
  <c r="BB44" i="130"/>
  <c r="BA44" i="130"/>
  <c r="AZ44" i="130"/>
  <c r="AY44" i="130"/>
  <c r="AX44" i="130"/>
  <c r="R44" i="130" s="1"/>
  <c r="AW44" i="130"/>
  <c r="AV44" i="130"/>
  <c r="AU44" i="130"/>
  <c r="AT44" i="130"/>
  <c r="I44" i="130"/>
  <c r="H44" i="130"/>
  <c r="G44" i="130"/>
  <c r="F44" i="130"/>
  <c r="CL24" i="130"/>
  <c r="CL31" i="130"/>
  <c r="CK24" i="130"/>
  <c r="CJ24" i="130"/>
  <c r="CJ31" i="130"/>
  <c r="CI24" i="130"/>
  <c r="CI31" i="130"/>
  <c r="CH24" i="130"/>
  <c r="CH31" i="130"/>
  <c r="CG24" i="130"/>
  <c r="CG31" i="130"/>
  <c r="CF31" i="130"/>
  <c r="CE24" i="130"/>
  <c r="CE31" i="130"/>
  <c r="CD24" i="130"/>
  <c r="CD31" i="130"/>
  <c r="CC24" i="130"/>
  <c r="CB24" i="130"/>
  <c r="CB31" i="130" s="1"/>
  <c r="CA24" i="130"/>
  <c r="CA31" i="130"/>
  <c r="AF31" i="130" s="1"/>
  <c r="BZ24" i="130"/>
  <c r="BZ31" i="130"/>
  <c r="BY24" i="130"/>
  <c r="BY31" i="130"/>
  <c r="BX24" i="130"/>
  <c r="BX31" i="130" s="1"/>
  <c r="AC31" i="130" s="1"/>
  <c r="BW24" i="130"/>
  <c r="BW31" i="130" s="1"/>
  <c r="BV24" i="130"/>
  <c r="BV31" i="130"/>
  <c r="AG31" i="130" s="1"/>
  <c r="BU24" i="130"/>
  <c r="BU31" i="130"/>
  <c r="BT24" i="130"/>
  <c r="BT31" i="130"/>
  <c r="BS24" i="130"/>
  <c r="BS31" i="130" s="1"/>
  <c r="BR24" i="130"/>
  <c r="BR31" i="130" s="1"/>
  <c r="BQ24" i="130"/>
  <c r="BQ31" i="130"/>
  <c r="BP24" i="130"/>
  <c r="BP31" i="130"/>
  <c r="BO31" i="130"/>
  <c r="BN24" i="130"/>
  <c r="BN31" i="130"/>
  <c r="BM24" i="130"/>
  <c r="BM31" i="130"/>
  <c r="BL31" i="130"/>
  <c r="BK31" i="130"/>
  <c r="BJ24" i="130"/>
  <c r="BJ31" i="130" s="1"/>
  <c r="BI24" i="130"/>
  <c r="BI31" i="130" s="1"/>
  <c r="BH31" i="130"/>
  <c r="BG24" i="130"/>
  <c r="BG31" i="130" s="1"/>
  <c r="BF24" i="130"/>
  <c r="BF31" i="130" s="1"/>
  <c r="BE24" i="130"/>
  <c r="BE31" i="130"/>
  <c r="O31" i="130" s="1"/>
  <c r="BD24" i="130"/>
  <c r="BD31" i="130"/>
  <c r="BC24" i="130"/>
  <c r="BC31" i="130"/>
  <c r="BB24" i="130"/>
  <c r="BB31" i="130" s="1"/>
  <c r="T31" i="130" s="1"/>
  <c r="BA24" i="130"/>
  <c r="BA31" i="130" s="1"/>
  <c r="AZ24" i="130"/>
  <c r="AZ31" i="130"/>
  <c r="AY24" i="130"/>
  <c r="AY31" i="130"/>
  <c r="AX24" i="130"/>
  <c r="AX31" i="130"/>
  <c r="AW24" i="130"/>
  <c r="AW31" i="130" s="1"/>
  <c r="AV24" i="130"/>
  <c r="AV31" i="130" s="1"/>
  <c r="AU24" i="130"/>
  <c r="AU31" i="130"/>
  <c r="AT24" i="130"/>
  <c r="AT31" i="130"/>
  <c r="I24" i="130"/>
  <c r="I31" i="130"/>
  <c r="H24" i="130"/>
  <c r="H31" i="130" s="1"/>
  <c r="G24" i="130"/>
  <c r="G31" i="130" s="1"/>
  <c r="F24" i="130"/>
  <c r="F31" i="130"/>
  <c r="I17" i="130"/>
  <c r="H17" i="130"/>
  <c r="G17" i="130"/>
  <c r="C101" i="130"/>
  <c r="AT52" i="130"/>
  <c r="AT51" i="130"/>
  <c r="CJ54" i="130"/>
  <c r="CI54" i="130"/>
  <c r="CH54" i="130"/>
  <c r="CG54" i="130"/>
  <c r="CF54" i="130"/>
  <c r="CE54" i="130"/>
  <c r="CD54" i="130"/>
  <c r="CC54" i="130"/>
  <c r="CB54" i="130"/>
  <c r="CA54" i="130"/>
  <c r="BZ54" i="130"/>
  <c r="BY54" i="130"/>
  <c r="BX54" i="130"/>
  <c r="BW54" i="130"/>
  <c r="BV54" i="130"/>
  <c r="BU54" i="130"/>
  <c r="BT54" i="130"/>
  <c r="BS54" i="130"/>
  <c r="BR54" i="130"/>
  <c r="BQ54" i="130"/>
  <c r="BP54" i="130"/>
  <c r="BO54" i="130"/>
  <c r="BN54" i="130"/>
  <c r="BM54" i="130"/>
  <c r="Z54" i="130" s="1"/>
  <c r="BL54" i="130"/>
  <c r="BK54" i="130"/>
  <c r="BJ54" i="130"/>
  <c r="BI54" i="130"/>
  <c r="BH54" i="130"/>
  <c r="BG54" i="130"/>
  <c r="BF54" i="130"/>
  <c r="BE54" i="130"/>
  <c r="BD54" i="130"/>
  <c r="BC54" i="130"/>
  <c r="BB54" i="130"/>
  <c r="BA54" i="130"/>
  <c r="AZ54" i="130"/>
  <c r="AY54" i="130"/>
  <c r="AX54" i="130"/>
  <c r="AW54" i="130"/>
  <c r="AV54" i="130"/>
  <c r="AU54" i="130"/>
  <c r="AT54" i="130"/>
  <c r="CJ52" i="130"/>
  <c r="CI52" i="130"/>
  <c r="CI53" i="130"/>
  <c r="CH52" i="130"/>
  <c r="AM52" i="130" s="1"/>
  <c r="CH53" i="130"/>
  <c r="AM53" i="130" s="1"/>
  <c r="CG52" i="130"/>
  <c r="CG53" i="130" s="1"/>
  <c r="CF52" i="130"/>
  <c r="CF53" i="130"/>
  <c r="CE52" i="130"/>
  <c r="CD52" i="130"/>
  <c r="CD53" i="130" s="1"/>
  <c r="AP53" i="130" s="1"/>
  <c r="CC52" i="130"/>
  <c r="AO52" i="130" s="1"/>
  <c r="CC53" i="130"/>
  <c r="CB52" i="130"/>
  <c r="CB53" i="130" s="1"/>
  <c r="AK53" i="130" s="1"/>
  <c r="CA52" i="130"/>
  <c r="CA53" i="130"/>
  <c r="BZ52" i="130"/>
  <c r="BY52" i="130"/>
  <c r="BY53" i="130"/>
  <c r="BX52" i="130"/>
  <c r="AC52" i="130" s="1"/>
  <c r="BX53" i="130"/>
  <c r="AC53" i="130" s="1"/>
  <c r="BW52" i="130"/>
  <c r="BW53" i="130" s="1"/>
  <c r="BV52" i="130"/>
  <c r="BV53" i="130"/>
  <c r="BU52" i="130"/>
  <c r="BT52" i="130"/>
  <c r="BT53" i="130"/>
  <c r="BS52" i="130"/>
  <c r="BS53" i="130"/>
  <c r="BR52" i="130"/>
  <c r="BR53" i="130" s="1"/>
  <c r="BQ52" i="130"/>
  <c r="BQ53" i="130"/>
  <c r="BP52" i="130"/>
  <c r="BO52" i="130"/>
  <c r="BO53" i="130"/>
  <c r="BN52" i="130"/>
  <c r="BN53" i="130"/>
  <c r="BM52" i="130"/>
  <c r="BM53" i="130" s="1"/>
  <c r="Z53" i="130" s="1"/>
  <c r="BL52" i="130"/>
  <c r="BL53" i="130"/>
  <c r="BK52" i="130"/>
  <c r="BJ52" i="130"/>
  <c r="BJ53" i="130"/>
  <c r="BI52" i="130"/>
  <c r="BI53" i="130"/>
  <c r="BH52" i="130"/>
  <c r="BH53" i="130" s="1"/>
  <c r="BG53" i="130"/>
  <c r="BF52" i="130"/>
  <c r="BF53" i="130"/>
  <c r="BE52" i="130"/>
  <c r="BE53" i="130" s="1"/>
  <c r="BD52" i="130"/>
  <c r="BD53" i="130"/>
  <c r="BC52" i="130"/>
  <c r="BB52" i="130"/>
  <c r="BB53" i="130"/>
  <c r="BA52" i="130"/>
  <c r="BA53" i="130"/>
  <c r="AZ52" i="130"/>
  <c r="AZ53" i="130" s="1"/>
  <c r="AY52" i="130"/>
  <c r="AY53" i="130"/>
  <c r="AX52" i="130"/>
  <c r="AX53" i="130" s="1"/>
  <c r="AW52" i="130"/>
  <c r="AW53" i="130"/>
  <c r="AV52" i="130"/>
  <c r="S52" i="130" s="1"/>
  <c r="AV53" i="130"/>
  <c r="AU52" i="130"/>
  <c r="AU53" i="130" s="1"/>
  <c r="CK54" i="130"/>
  <c r="CK52" i="130"/>
  <c r="AR52" i="130"/>
  <c r="AP52" i="130"/>
  <c r="AK52" i="130"/>
  <c r="AJ52" i="130"/>
  <c r="AG52" i="130"/>
  <c r="AF52" i="130"/>
  <c r="AE52" i="130"/>
  <c r="AA52" i="130"/>
  <c r="AA53" i="130" s="1"/>
  <c r="Z52" i="130"/>
  <c r="W52" i="130"/>
  <c r="V52" i="130"/>
  <c r="T52" i="130"/>
  <c r="P52" i="130"/>
  <c r="O52" i="130"/>
  <c r="N52" i="130"/>
  <c r="M52" i="130"/>
  <c r="L52" i="130"/>
  <c r="K52" i="130"/>
  <c r="C97" i="130"/>
  <c r="CL97" i="130"/>
  <c r="CL96" i="130"/>
  <c r="AS87" i="130"/>
  <c r="AE87" i="130"/>
  <c r="AA87" i="130"/>
  <c r="Y87" i="130"/>
  <c r="X87" i="130"/>
  <c r="V87" i="130"/>
  <c r="R87" i="130"/>
  <c r="P87" i="130"/>
  <c r="AA70" i="130"/>
  <c r="V95" i="130"/>
  <c r="V96" i="130"/>
  <c r="V98" i="130"/>
  <c r="V99" i="130"/>
  <c r="V97" i="130"/>
  <c r="R95" i="130"/>
  <c r="AS29" i="130"/>
  <c r="BF27" i="130"/>
  <c r="K27" i="130" s="1"/>
  <c r="AY27" i="130"/>
  <c r="L27" i="130"/>
  <c r="BD27" i="130"/>
  <c r="M27" i="130"/>
  <c r="AW27" i="130"/>
  <c r="N27" i="130" s="1"/>
  <c r="BE27" i="130"/>
  <c r="O27" i="130"/>
  <c r="AZ27" i="130"/>
  <c r="P27" i="130" s="1"/>
  <c r="BA27" i="130"/>
  <c r="AU27" i="130"/>
  <c r="Q27" i="130"/>
  <c r="AT27" i="130"/>
  <c r="R27" i="130" s="1"/>
  <c r="AX27" i="130"/>
  <c r="AV27" i="130"/>
  <c r="S27" i="130"/>
  <c r="BB27" i="130"/>
  <c r="T27" i="130" s="1"/>
  <c r="BC27" i="130"/>
  <c r="U27" i="130"/>
  <c r="BG27" i="130"/>
  <c r="BJ27" i="130"/>
  <c r="V27" i="130" s="1"/>
  <c r="BR27" i="130"/>
  <c r="W27" i="130"/>
  <c r="BI27" i="130"/>
  <c r="X27" i="130"/>
  <c r="BN27" i="130"/>
  <c r="Y27" i="130" s="1"/>
  <c r="BM27" i="130"/>
  <c r="Z27" i="130"/>
  <c r="BQ27" i="130"/>
  <c r="AA27" i="130" s="1"/>
  <c r="BP27" i="130"/>
  <c r="AB27" i="130" s="1"/>
  <c r="BX27" i="130"/>
  <c r="AC27" i="130"/>
  <c r="BU27" i="130"/>
  <c r="AD27" i="130" s="1"/>
  <c r="BS27" i="130"/>
  <c r="BT27" i="130"/>
  <c r="AE27" i="130"/>
  <c r="CA27" i="130"/>
  <c r="AF27" i="130" s="1"/>
  <c r="BV27" i="130"/>
  <c r="AG27" i="130"/>
  <c r="BZ27" i="130"/>
  <c r="AH27" i="130" s="1"/>
  <c r="BW27" i="130"/>
  <c r="AI27" i="130" s="1"/>
  <c r="BY27" i="130"/>
  <c r="AJ27" i="130"/>
  <c r="CB27" i="130"/>
  <c r="AK27" i="130" s="1"/>
  <c r="CE27" i="130"/>
  <c r="AL27" i="130"/>
  <c r="CH27" i="130"/>
  <c r="AM27" i="130" s="1"/>
  <c r="CJ27" i="130"/>
  <c r="AN27" i="130"/>
  <c r="CC27" i="130"/>
  <c r="AO27" i="130"/>
  <c r="CD27" i="130"/>
  <c r="AP27" i="130" s="1"/>
  <c r="CK27" i="130"/>
  <c r="AQ27" i="130"/>
  <c r="CI27" i="130"/>
  <c r="AR27" i="130" s="1"/>
  <c r="CG27" i="130"/>
  <c r="AS27" i="130"/>
  <c r="CL29" i="130"/>
  <c r="CC29" i="130"/>
  <c r="AO29" i="130" s="1"/>
  <c r="CB29" i="130"/>
  <c r="BZ29" i="130"/>
  <c r="BU29" i="130"/>
  <c r="BJ29" i="130"/>
  <c r="BI29" i="130"/>
  <c r="CL28" i="130"/>
  <c r="CK28" i="130"/>
  <c r="CJ28" i="130"/>
  <c r="CI28" i="130"/>
  <c r="CH28" i="130"/>
  <c r="AM28" i="130" s="1"/>
  <c r="CG28" i="130"/>
  <c r="CE28" i="130"/>
  <c r="CD28" i="130"/>
  <c r="CC28" i="130"/>
  <c r="CB28" i="130"/>
  <c r="AK28" i="130" s="1"/>
  <c r="CA28" i="130"/>
  <c r="BZ28" i="130"/>
  <c r="BY28" i="130"/>
  <c r="BX28" i="130"/>
  <c r="BW28" i="130"/>
  <c r="AI28" i="130" s="1"/>
  <c r="BV28" i="130"/>
  <c r="BU28" i="130"/>
  <c r="BT28" i="130"/>
  <c r="BS28" i="130"/>
  <c r="BR28" i="130"/>
  <c r="BQ28" i="130"/>
  <c r="BP28" i="130"/>
  <c r="BN28" i="130"/>
  <c r="BM28" i="130"/>
  <c r="BJ28" i="130"/>
  <c r="BI28" i="130"/>
  <c r="BG28" i="130"/>
  <c r="BF28" i="130"/>
  <c r="BE28" i="130"/>
  <c r="BD28" i="130"/>
  <c r="BC28" i="130"/>
  <c r="BB28" i="130"/>
  <c r="BA28" i="130"/>
  <c r="AZ28" i="130"/>
  <c r="AY28" i="130"/>
  <c r="AX28" i="130"/>
  <c r="AW28" i="130"/>
  <c r="AV28" i="130"/>
  <c r="AU28" i="130"/>
  <c r="AT28" i="130"/>
  <c r="R28" i="130" s="1"/>
  <c r="CL27" i="130"/>
  <c r="CL26" i="130"/>
  <c r="CK26" i="130"/>
  <c r="CJ26" i="130"/>
  <c r="CI26" i="130"/>
  <c r="AR26" i="130" s="1"/>
  <c r="CH26" i="130"/>
  <c r="CG26" i="130"/>
  <c r="CE26" i="130"/>
  <c r="CD26" i="130"/>
  <c r="CC26" i="130"/>
  <c r="CB26" i="130"/>
  <c r="CA26" i="130"/>
  <c r="BZ26" i="130"/>
  <c r="BY26" i="130"/>
  <c r="BX26" i="130"/>
  <c r="AC26" i="130" s="1"/>
  <c r="BW26" i="130"/>
  <c r="BV26" i="130"/>
  <c r="BU26" i="130"/>
  <c r="BT26" i="130"/>
  <c r="BS26" i="130"/>
  <c r="AE26" i="130" s="1"/>
  <c r="BR26" i="130"/>
  <c r="BQ26" i="130"/>
  <c r="BP26" i="130"/>
  <c r="BN26" i="130"/>
  <c r="BM26" i="130"/>
  <c r="Z26" i="130" s="1"/>
  <c r="BJ26" i="130"/>
  <c r="BI26" i="130"/>
  <c r="BG26" i="130"/>
  <c r="BF26" i="130"/>
  <c r="BE26" i="130"/>
  <c r="BD26" i="130"/>
  <c r="BC26" i="130"/>
  <c r="BB26" i="130"/>
  <c r="BA26" i="130"/>
  <c r="AZ26" i="130"/>
  <c r="AY26" i="130"/>
  <c r="AX26" i="130"/>
  <c r="AW26" i="130"/>
  <c r="AV26" i="130"/>
  <c r="AU26" i="130"/>
  <c r="AT26" i="130"/>
  <c r="R26" i="130" s="1"/>
  <c r="CB25" i="130"/>
  <c r="I28" i="130"/>
  <c r="H28" i="130"/>
  <c r="G28" i="130"/>
  <c r="F28" i="130"/>
  <c r="I27" i="130"/>
  <c r="H27" i="130"/>
  <c r="G27" i="130"/>
  <c r="F27" i="130"/>
  <c r="I26" i="130"/>
  <c r="H26" i="130"/>
  <c r="G26" i="130"/>
  <c r="F26" i="130"/>
  <c r="AS95" i="130"/>
  <c r="AS96" i="130"/>
  <c r="AS51" i="130" s="1"/>
  <c r="AS98" i="130"/>
  <c r="AS99" i="130"/>
  <c r="AS97" i="130"/>
  <c r="AS70" i="130"/>
  <c r="AS49" i="130"/>
  <c r="AS42" i="130"/>
  <c r="AS43" i="130"/>
  <c r="CC51" i="130"/>
  <c r="AO51" i="130" s="1"/>
  <c r="CD51" i="130"/>
  <c r="CE51" i="130"/>
  <c r="CF51" i="130"/>
  <c r="CG51" i="130"/>
  <c r="CH51" i="130"/>
  <c r="AM51" i="130" s="1"/>
  <c r="CI51" i="130"/>
  <c r="CJ51" i="130"/>
  <c r="CK51" i="130"/>
  <c r="CL51" i="130"/>
  <c r="BZ51" i="130"/>
  <c r="CA51" i="130"/>
  <c r="CB51" i="130"/>
  <c r="BY51" i="130"/>
  <c r="AE46" i="130"/>
  <c r="AE39" i="130"/>
  <c r="AA99" i="130"/>
  <c r="AA98" i="130"/>
  <c r="AA96" i="130"/>
  <c r="AA95" i="130"/>
  <c r="AA54" i="130" s="1"/>
  <c r="AA97" i="130"/>
  <c r="AA45" i="130"/>
  <c r="AA47" i="130" s="1"/>
  <c r="AA46" i="130"/>
  <c r="AA43" i="130"/>
  <c r="Y95" i="130"/>
  <c r="Y51" i="130" s="1"/>
  <c r="Y96" i="130"/>
  <c r="Y98" i="130"/>
  <c r="Y99" i="130"/>
  <c r="Y97" i="130"/>
  <c r="Y70" i="130"/>
  <c r="Y71" i="130" s="1"/>
  <c r="Y49" i="130"/>
  <c r="Y45" i="130"/>
  <c r="Y47" i="130"/>
  <c r="Y42" i="130"/>
  <c r="Y44" i="130"/>
  <c r="Y46" i="130"/>
  <c r="Y43" i="130"/>
  <c r="Y39" i="130"/>
  <c r="Y38" i="130"/>
  <c r="BL71" i="130"/>
  <c r="X95" i="130"/>
  <c r="X96" i="130"/>
  <c r="X98" i="130"/>
  <c r="X99" i="130"/>
  <c r="X97" i="130"/>
  <c r="X49" i="130"/>
  <c r="X39" i="130"/>
  <c r="BH82" i="130"/>
  <c r="V45" i="130"/>
  <c r="V47" i="130"/>
  <c r="BJ82" i="130"/>
  <c r="AS35" i="130"/>
  <c r="AS93" i="130"/>
  <c r="AS65" i="130"/>
  <c r="AR35" i="130"/>
  <c r="AR65" i="130" s="1"/>
  <c r="AR93" i="130"/>
  <c r="AQ35" i="130"/>
  <c r="AQ93" i="130"/>
  <c r="AQ65" i="130"/>
  <c r="AP35" i="130"/>
  <c r="AP65" i="130" s="1"/>
  <c r="AP93" i="130"/>
  <c r="AO35" i="130"/>
  <c r="AO93" i="130"/>
  <c r="AN35" i="130"/>
  <c r="AN93" i="130"/>
  <c r="AN65" i="130"/>
  <c r="AM35" i="130"/>
  <c r="AM65" i="130" s="1"/>
  <c r="AM93" i="130"/>
  <c r="AL35" i="130"/>
  <c r="AL93" i="130"/>
  <c r="AL65" i="130"/>
  <c r="AK35" i="130"/>
  <c r="AK65" i="130" s="1"/>
  <c r="AK93" i="130"/>
  <c r="AJ35" i="130"/>
  <c r="AJ65" i="130" s="1"/>
  <c r="AJ93" i="130"/>
  <c r="AI35" i="130"/>
  <c r="AI93" i="130"/>
  <c r="AI65" i="130"/>
  <c r="AH35" i="130"/>
  <c r="AH65" i="130" s="1"/>
  <c r="AH93" i="130"/>
  <c r="AG35" i="130"/>
  <c r="AG93" i="130"/>
  <c r="AG65" i="130"/>
  <c r="AF35" i="130"/>
  <c r="AF65" i="130" s="1"/>
  <c r="AF93" i="130"/>
  <c r="AE35" i="130"/>
  <c r="AE65" i="130" s="1"/>
  <c r="AE93" i="130"/>
  <c r="AD35" i="130"/>
  <c r="AD93" i="130"/>
  <c r="AD65" i="130"/>
  <c r="AC35" i="130"/>
  <c r="AC65" i="130" s="1"/>
  <c r="AC93" i="130"/>
  <c r="AB35" i="130"/>
  <c r="AB93" i="130"/>
  <c r="AB65" i="130"/>
  <c r="AA35" i="130"/>
  <c r="AA93" i="130" s="1"/>
  <c r="Z35" i="130"/>
  <c r="Z93" i="130"/>
  <c r="Y35" i="130"/>
  <c r="Y93" i="130" s="1"/>
  <c r="Y65" i="130" s="1"/>
  <c r="X35" i="130"/>
  <c r="W35" i="130"/>
  <c r="W93" i="130"/>
  <c r="W65" i="130"/>
  <c r="V35" i="130"/>
  <c r="V93" i="130" s="1"/>
  <c r="U93" i="130"/>
  <c r="U35" i="130"/>
  <c r="U65" i="130" s="1"/>
  <c r="T35" i="130"/>
  <c r="T93" i="130"/>
  <c r="T65" i="130"/>
  <c r="S93" i="130"/>
  <c r="S35" i="130"/>
  <c r="S65" i="130" s="1"/>
  <c r="R35" i="130"/>
  <c r="R93" i="130"/>
  <c r="R65" i="130"/>
  <c r="Q93" i="130"/>
  <c r="Q35" i="130"/>
  <c r="Q65" i="130" s="1"/>
  <c r="P35" i="130"/>
  <c r="P93" i="130"/>
  <c r="O35" i="130"/>
  <c r="O93" i="130"/>
  <c r="O65" i="130"/>
  <c r="N93" i="130"/>
  <c r="N35" i="130"/>
  <c r="N65" i="130" s="1"/>
  <c r="M35" i="130"/>
  <c r="M93" i="130"/>
  <c r="M65" i="130"/>
  <c r="L93" i="130"/>
  <c r="L35" i="130"/>
  <c r="L65" i="130" s="1"/>
  <c r="K35" i="130"/>
  <c r="K65" i="130" s="1"/>
  <c r="K93" i="130"/>
  <c r="J65" i="130"/>
  <c r="P99" i="130"/>
  <c r="P98" i="130"/>
  <c r="P96" i="130"/>
  <c r="P95" i="130"/>
  <c r="P97" i="130"/>
  <c r="P63" i="130"/>
  <c r="P62" i="130"/>
  <c r="P61" i="130"/>
  <c r="P60" i="130"/>
  <c r="P59" i="130"/>
  <c r="P58" i="130"/>
  <c r="P57" i="130"/>
  <c r="P56" i="130"/>
  <c r="P49" i="130"/>
  <c r="P48" i="130"/>
  <c r="P47" i="130"/>
  <c r="P46" i="130"/>
  <c r="P45" i="130"/>
  <c r="P42" i="130"/>
  <c r="P44" i="130" s="1"/>
  <c r="P43" i="130"/>
  <c r="P41" i="130"/>
  <c r="R49" i="130"/>
  <c r="R42" i="130"/>
  <c r="R43" i="130"/>
  <c r="CG21" i="130"/>
  <c r="CG14" i="130"/>
  <c r="R107" i="130"/>
  <c r="R106" i="130"/>
  <c r="R105" i="130"/>
  <c r="R104" i="130"/>
  <c r="R103" i="130"/>
  <c r="R102" i="130"/>
  <c r="R101" i="130"/>
  <c r="R99" i="130"/>
  <c r="R98" i="130"/>
  <c r="R85" i="130"/>
  <c r="R84" i="130"/>
  <c r="R83" i="130"/>
  <c r="AX82" i="130"/>
  <c r="R82" i="130"/>
  <c r="R81" i="130"/>
  <c r="R80" i="130"/>
  <c r="R78" i="130"/>
  <c r="R77" i="130"/>
  <c r="R76" i="130"/>
  <c r="R75" i="130"/>
  <c r="R74" i="130"/>
  <c r="R73" i="130"/>
  <c r="R70" i="130"/>
  <c r="R69" i="130"/>
  <c r="R63" i="130"/>
  <c r="R62" i="130"/>
  <c r="R61" i="130"/>
  <c r="R60" i="130"/>
  <c r="R59" i="130"/>
  <c r="R58" i="130"/>
  <c r="R57" i="130"/>
  <c r="R56" i="130"/>
  <c r="R50" i="130"/>
  <c r="R48" i="130"/>
  <c r="R23" i="130"/>
  <c r="R46" i="130"/>
  <c r="R45" i="130"/>
  <c r="R41" i="130"/>
  <c r="R39" i="130"/>
  <c r="R38" i="130"/>
  <c r="R37" i="130"/>
  <c r="R36" i="130"/>
  <c r="R29" i="130"/>
  <c r="R25" i="130"/>
  <c r="R24" i="130"/>
  <c r="R119" i="130"/>
  <c r="R21" i="130" s="1"/>
  <c r="R20" i="130"/>
  <c r="R16" i="130"/>
  <c r="R17" i="130"/>
  <c r="R118" i="130"/>
  <c r="R9" i="130"/>
  <c r="R10" i="130"/>
  <c r="R11" i="130"/>
  <c r="R12" i="130"/>
  <c r="R13" i="130"/>
  <c r="R8" i="130"/>
  <c r="R7" i="130"/>
  <c r="F17" i="130"/>
  <c r="AT71" i="130"/>
  <c r="AT33" i="130"/>
  <c r="AT30" i="130"/>
  <c r="AT21" i="130"/>
  <c r="AT14" i="130"/>
  <c r="CL5" i="130"/>
  <c r="CK5" i="130"/>
  <c r="CJ5" i="130"/>
  <c r="CI5" i="130"/>
  <c r="CH5" i="130"/>
  <c r="CG5" i="130"/>
  <c r="CF5" i="130"/>
  <c r="CE5" i="130"/>
  <c r="CD5" i="130"/>
  <c r="CC5" i="130"/>
  <c r="CB5" i="130"/>
  <c r="CA5" i="130"/>
  <c r="BZ5" i="130"/>
  <c r="BY5" i="130"/>
  <c r="BX5" i="130"/>
  <c r="BW5" i="130"/>
  <c r="BV5" i="130"/>
  <c r="BU5" i="130"/>
  <c r="BT5" i="130"/>
  <c r="BS5" i="130"/>
  <c r="BR5" i="130"/>
  <c r="BQ5" i="130"/>
  <c r="BP5" i="130"/>
  <c r="BO5" i="130"/>
  <c r="BN5" i="130"/>
  <c r="BM5" i="130"/>
  <c r="BL5" i="130"/>
  <c r="BK5" i="130"/>
  <c r="BJ5" i="130"/>
  <c r="BI5" i="130"/>
  <c r="BH5" i="130"/>
  <c r="BG5" i="130"/>
  <c r="BF5" i="130"/>
  <c r="BE5" i="130"/>
  <c r="BD5" i="130"/>
  <c r="BC5" i="130"/>
  <c r="BB5" i="130"/>
  <c r="BA5" i="130"/>
  <c r="AZ5" i="130"/>
  <c r="AY5" i="130"/>
  <c r="AX5" i="130"/>
  <c r="AW5" i="130"/>
  <c r="AV5" i="130"/>
  <c r="AU5" i="130"/>
  <c r="AT5" i="130"/>
  <c r="AS5" i="130"/>
  <c r="AR5" i="130"/>
  <c r="AQ5" i="130"/>
  <c r="AP5" i="130"/>
  <c r="AO5" i="130"/>
  <c r="AN5" i="130"/>
  <c r="AM5" i="130"/>
  <c r="AL5" i="130"/>
  <c r="AK5" i="130"/>
  <c r="AJ5" i="130"/>
  <c r="AI5" i="130"/>
  <c r="AH5" i="130"/>
  <c r="AG5" i="130"/>
  <c r="AF5" i="130"/>
  <c r="AE5" i="130"/>
  <c r="AD5" i="130"/>
  <c r="AC5" i="130"/>
  <c r="AB5" i="130"/>
  <c r="AA5" i="130"/>
  <c r="Z5" i="130"/>
  <c r="Y5" i="130"/>
  <c r="X5" i="130"/>
  <c r="W5" i="130"/>
  <c r="V5" i="130"/>
  <c r="U5" i="130"/>
  <c r="T5" i="130"/>
  <c r="S5" i="130"/>
  <c r="R5" i="130"/>
  <c r="Q5" i="130"/>
  <c r="P5" i="130"/>
  <c r="O5" i="130"/>
  <c r="N5" i="130"/>
  <c r="M5" i="130"/>
  <c r="L5" i="130"/>
  <c r="K5" i="130"/>
  <c r="J5" i="130"/>
  <c r="I5" i="130"/>
  <c r="H5" i="130"/>
  <c r="G5" i="130"/>
  <c r="F5" i="130"/>
  <c r="AS39" i="130"/>
  <c r="AA39" i="130"/>
  <c r="AA38" i="130"/>
  <c r="AA49" i="130"/>
  <c r="X46" i="130"/>
  <c r="V46" i="130"/>
  <c r="AA44" i="130"/>
  <c r="X42" i="130"/>
  <c r="X43" i="130"/>
  <c r="V42" i="130"/>
  <c r="V44" i="130"/>
  <c r="A6" i="130"/>
  <c r="A7" i="130"/>
  <c r="A8" i="130"/>
  <c r="A9" i="130"/>
  <c r="A10" i="130"/>
  <c r="A11" i="130"/>
  <c r="A12" i="130"/>
  <c r="A13" i="130"/>
  <c r="A14" i="130"/>
  <c r="A5" i="130"/>
  <c r="K7" i="130"/>
  <c r="L7" i="130"/>
  <c r="M7" i="130"/>
  <c r="N7" i="130"/>
  <c r="O7" i="130"/>
  <c r="K8" i="130"/>
  <c r="L8" i="130"/>
  <c r="M8" i="130"/>
  <c r="N8" i="130"/>
  <c r="O8" i="130"/>
  <c r="K9" i="130"/>
  <c r="L9" i="130"/>
  <c r="M9" i="130"/>
  <c r="N9" i="130"/>
  <c r="O9" i="130"/>
  <c r="K10" i="130"/>
  <c r="L10" i="130"/>
  <c r="M10" i="130"/>
  <c r="N10" i="130"/>
  <c r="O10" i="130"/>
  <c r="K11" i="130"/>
  <c r="L11" i="130"/>
  <c r="M11" i="130"/>
  <c r="N11" i="130"/>
  <c r="O11" i="130"/>
  <c r="K12" i="130"/>
  <c r="L12" i="130"/>
  <c r="M12" i="130"/>
  <c r="N12" i="130"/>
  <c r="O12" i="130"/>
  <c r="AS50" i="130"/>
  <c r="Y50" i="130"/>
  <c r="X50" i="130"/>
  <c r="V50" i="130"/>
  <c r="CL21" i="130"/>
  <c r="I21" i="130"/>
  <c r="H21" i="130"/>
  <c r="G21" i="130"/>
  <c r="F21" i="130"/>
  <c r="AS20" i="130"/>
  <c r="AS119" i="130"/>
  <c r="AS21" i="130"/>
  <c r="AR119" i="130"/>
  <c r="AR21" i="130" s="1"/>
  <c r="AR20" i="130"/>
  <c r="AQ119" i="130"/>
  <c r="AQ20" i="130"/>
  <c r="AQ21" i="130"/>
  <c r="AP119" i="130"/>
  <c r="AP21" i="130" s="1"/>
  <c r="AP20" i="130"/>
  <c r="AO119" i="130"/>
  <c r="AO21" i="130" s="1"/>
  <c r="AO20" i="130"/>
  <c r="AN119" i="130"/>
  <c r="AN20" i="130"/>
  <c r="AN21" i="130"/>
  <c r="AM119" i="130"/>
  <c r="AM21" i="130" s="1"/>
  <c r="AM20" i="130"/>
  <c r="AL119" i="130"/>
  <c r="AL20" i="130"/>
  <c r="AL21" i="130" s="1"/>
  <c r="AK119" i="130"/>
  <c r="AK21" i="130" s="1"/>
  <c r="AK20" i="130"/>
  <c r="AJ119" i="130"/>
  <c r="AJ20" i="130"/>
  <c r="AI119" i="130"/>
  <c r="AI20" i="130"/>
  <c r="AI21" i="130"/>
  <c r="AH119" i="130"/>
  <c r="AH21" i="130" s="1"/>
  <c r="AH20" i="130"/>
  <c r="AG119" i="130"/>
  <c r="AG20" i="130"/>
  <c r="AG21" i="130" s="1"/>
  <c r="AF119" i="130"/>
  <c r="AF21" i="130" s="1"/>
  <c r="AF20" i="130"/>
  <c r="AE20" i="130"/>
  <c r="AE119" i="130"/>
  <c r="AE21" i="130" s="1"/>
  <c r="AD119" i="130"/>
  <c r="AD20" i="130"/>
  <c r="AD21" i="130"/>
  <c r="AC119" i="130"/>
  <c r="AC21" i="130" s="1"/>
  <c r="AC20" i="130"/>
  <c r="AB119" i="130"/>
  <c r="AB20" i="130"/>
  <c r="AB21" i="130"/>
  <c r="AA119" i="130"/>
  <c r="AA21" i="130" s="1"/>
  <c r="AA20" i="130"/>
  <c r="Z119" i="130"/>
  <c r="Z20" i="130"/>
  <c r="Y20" i="130"/>
  <c r="Y119" i="130"/>
  <c r="Y21" i="130"/>
  <c r="X119" i="130"/>
  <c r="X21" i="130" s="1"/>
  <c r="X20" i="130"/>
  <c r="W119" i="130"/>
  <c r="W20" i="130"/>
  <c r="W21" i="130"/>
  <c r="V119" i="130"/>
  <c r="V21" i="130" s="1"/>
  <c r="V20" i="130"/>
  <c r="U119" i="130"/>
  <c r="U21" i="130" s="1"/>
  <c r="U20" i="130"/>
  <c r="T119" i="130"/>
  <c r="T20" i="130"/>
  <c r="T21" i="130"/>
  <c r="S119" i="130"/>
  <c r="S21" i="130" s="1"/>
  <c r="S20" i="130"/>
  <c r="Q20" i="130"/>
  <c r="Q21" i="130" s="1"/>
  <c r="P20" i="130"/>
  <c r="P119" i="130"/>
  <c r="P21" i="130" s="1"/>
  <c r="O119" i="130"/>
  <c r="O20" i="130"/>
  <c r="N119" i="130"/>
  <c r="N20" i="130"/>
  <c r="N21" i="130"/>
  <c r="M119" i="130"/>
  <c r="M21" i="130" s="1"/>
  <c r="M20" i="130"/>
  <c r="L119" i="130"/>
  <c r="L20" i="130"/>
  <c r="L21" i="130"/>
  <c r="K119" i="130"/>
  <c r="K21" i="130" s="1"/>
  <c r="K20" i="130"/>
  <c r="CK21" i="130"/>
  <c r="CJ21" i="130"/>
  <c r="CI21" i="130"/>
  <c r="CH21" i="130"/>
  <c r="CF21" i="130"/>
  <c r="CE21" i="130"/>
  <c r="CD21" i="130"/>
  <c r="CC21" i="130"/>
  <c r="CB21" i="130"/>
  <c r="CA21" i="130"/>
  <c r="BZ21" i="130"/>
  <c r="BY21" i="130"/>
  <c r="BX21" i="130"/>
  <c r="BW21" i="130"/>
  <c r="BV21" i="130"/>
  <c r="BU21" i="130"/>
  <c r="BT21" i="130"/>
  <c r="BS21" i="130"/>
  <c r="BR21" i="130"/>
  <c r="BQ21" i="130"/>
  <c r="BP21" i="130"/>
  <c r="BO21" i="130"/>
  <c r="BN21" i="130"/>
  <c r="BM21" i="130"/>
  <c r="BL21" i="130"/>
  <c r="BK21" i="130"/>
  <c r="BJ21" i="130"/>
  <c r="BI21" i="130"/>
  <c r="BH21" i="130"/>
  <c r="BG21" i="130"/>
  <c r="BF21" i="130"/>
  <c r="BE21" i="130"/>
  <c r="BD21" i="130"/>
  <c r="BC21" i="130"/>
  <c r="BB21" i="130"/>
  <c r="BA21" i="130"/>
  <c r="AZ21" i="130"/>
  <c r="AY21" i="130"/>
  <c r="AW21" i="130"/>
  <c r="AX21" i="130"/>
  <c r="AV21" i="130"/>
  <c r="AU21" i="130"/>
  <c r="AE99" i="130"/>
  <c r="C99" i="130"/>
  <c r="AE98" i="130"/>
  <c r="B54" i="130"/>
  <c r="B53" i="130"/>
  <c r="C96" i="130"/>
  <c r="BS51" i="130"/>
  <c r="BL51" i="130"/>
  <c r="BK51" i="130"/>
  <c r="BJ51" i="130"/>
  <c r="BI51" i="130"/>
  <c r="BH51" i="130"/>
  <c r="BG51" i="130"/>
  <c r="BF51" i="130"/>
  <c r="BE51" i="130"/>
  <c r="BD51" i="130"/>
  <c r="BC51" i="130"/>
  <c r="BB51" i="130"/>
  <c r="BA51" i="130"/>
  <c r="AZ51" i="130"/>
  <c r="AY51" i="130"/>
  <c r="AW51" i="130"/>
  <c r="AV51" i="130"/>
  <c r="AU51" i="130"/>
  <c r="AX51" i="130"/>
  <c r="BQ51" i="130"/>
  <c r="BP51" i="130"/>
  <c r="BO51" i="130"/>
  <c r="BN51" i="130"/>
  <c r="BM51" i="130"/>
  <c r="Z51" i="130" s="1"/>
  <c r="BR51" i="130"/>
  <c r="BT51" i="130"/>
  <c r="BU51" i="130"/>
  <c r="BV51" i="130"/>
  <c r="BW51" i="130"/>
  <c r="AI51" i="130" s="1"/>
  <c r="BX51" i="130"/>
  <c r="AE96" i="130"/>
  <c r="R96" i="130"/>
  <c r="AE95" i="130"/>
  <c r="AE54" i="130" s="1"/>
  <c r="AE97" i="130"/>
  <c r="R97" i="130"/>
  <c r="AS90" i="130"/>
  <c r="AS91" i="130"/>
  <c r="AS92" i="130"/>
  <c r="AS89" i="130"/>
  <c r="AE90" i="130"/>
  <c r="AE91" i="130"/>
  <c r="AE92" i="130"/>
  <c r="AE89" i="130"/>
  <c r="AA90" i="130"/>
  <c r="AA91" i="130"/>
  <c r="AA92" i="130"/>
  <c r="AA89" i="130"/>
  <c r="Y90" i="130"/>
  <c r="Y91" i="130"/>
  <c r="Y92" i="130"/>
  <c r="Y89" i="130"/>
  <c r="X90" i="130"/>
  <c r="X91" i="130"/>
  <c r="X92" i="130"/>
  <c r="X89" i="130"/>
  <c r="V90" i="130"/>
  <c r="V91" i="130"/>
  <c r="V92" i="130"/>
  <c r="V89" i="130"/>
  <c r="R90" i="130"/>
  <c r="R91" i="130"/>
  <c r="R92" i="130"/>
  <c r="R89" i="130"/>
  <c r="P90" i="130"/>
  <c r="P91" i="130"/>
  <c r="P92" i="130"/>
  <c r="P89" i="130"/>
  <c r="AR92" i="130"/>
  <c r="AQ92" i="130"/>
  <c r="AP92" i="130"/>
  <c r="AO92" i="130"/>
  <c r="AN92" i="130"/>
  <c r="AM92" i="130"/>
  <c r="AL92" i="130"/>
  <c r="AK92" i="130"/>
  <c r="AJ92" i="130"/>
  <c r="AI92" i="130"/>
  <c r="AH92" i="130"/>
  <c r="AG92" i="130"/>
  <c r="AF92" i="130"/>
  <c r="AD92" i="130"/>
  <c r="AC92" i="130"/>
  <c r="AB92" i="130"/>
  <c r="Z92" i="130"/>
  <c r="W92" i="130"/>
  <c r="U92" i="130"/>
  <c r="T92" i="130"/>
  <c r="S92" i="130"/>
  <c r="Q92" i="130"/>
  <c r="O92" i="130"/>
  <c r="N92" i="130"/>
  <c r="M92" i="130"/>
  <c r="L92" i="130"/>
  <c r="K92" i="130"/>
  <c r="AR91" i="130"/>
  <c r="AQ91" i="130"/>
  <c r="AP91" i="130"/>
  <c r="AO91" i="130"/>
  <c r="AN91" i="130"/>
  <c r="AM91" i="130"/>
  <c r="AL91" i="130"/>
  <c r="AK91" i="130"/>
  <c r="AJ91" i="130"/>
  <c r="AI91" i="130"/>
  <c r="AH91" i="130"/>
  <c r="AG91" i="130"/>
  <c r="AF91" i="130"/>
  <c r="AD91" i="130"/>
  <c r="AC91" i="130"/>
  <c r="AB91" i="130"/>
  <c r="Z91" i="130"/>
  <c r="W91" i="130"/>
  <c r="U91" i="130"/>
  <c r="T91" i="130"/>
  <c r="S91" i="130"/>
  <c r="Q91" i="130"/>
  <c r="O91" i="130"/>
  <c r="N91" i="130"/>
  <c r="M91" i="130"/>
  <c r="L91" i="130"/>
  <c r="K91" i="130"/>
  <c r="AR90" i="130"/>
  <c r="AQ90" i="130"/>
  <c r="AP90" i="130"/>
  <c r="AO90" i="130"/>
  <c r="AN90" i="130"/>
  <c r="AM90" i="130"/>
  <c r="AL90" i="130"/>
  <c r="AK90" i="130"/>
  <c r="AJ90" i="130"/>
  <c r="AI90" i="130"/>
  <c r="AH90" i="130"/>
  <c r="AG90" i="130"/>
  <c r="AF90" i="130"/>
  <c r="AD90" i="130"/>
  <c r="AC90" i="130"/>
  <c r="AB90" i="130"/>
  <c r="Z90" i="130"/>
  <c r="W90" i="130"/>
  <c r="U90" i="130"/>
  <c r="T90" i="130"/>
  <c r="S90" i="130"/>
  <c r="Q90" i="130"/>
  <c r="O90" i="130"/>
  <c r="N90" i="130"/>
  <c r="M90" i="130"/>
  <c r="L90" i="130"/>
  <c r="K90" i="130"/>
  <c r="AR89" i="130"/>
  <c r="AQ89" i="130"/>
  <c r="AP89" i="130"/>
  <c r="AO89" i="130"/>
  <c r="AN89" i="130"/>
  <c r="AM89" i="130"/>
  <c r="AL89" i="130"/>
  <c r="AK89" i="130"/>
  <c r="AJ89" i="130"/>
  <c r="AI89" i="130"/>
  <c r="AH89" i="130"/>
  <c r="AG89" i="130"/>
  <c r="AF89" i="130"/>
  <c r="AD89" i="130"/>
  <c r="AC89" i="130"/>
  <c r="AB89" i="130"/>
  <c r="Z89" i="130"/>
  <c r="W89" i="130"/>
  <c r="U89" i="130"/>
  <c r="T89" i="130"/>
  <c r="S89" i="130"/>
  <c r="Q89" i="130"/>
  <c r="O89" i="130"/>
  <c r="N89" i="130"/>
  <c r="M89" i="130"/>
  <c r="L89" i="130"/>
  <c r="K89" i="130"/>
  <c r="AR87" i="130"/>
  <c r="AQ87" i="130"/>
  <c r="AP87" i="130"/>
  <c r="AO87" i="130"/>
  <c r="AN87" i="130"/>
  <c r="AM87" i="130"/>
  <c r="AL87" i="130"/>
  <c r="AK87" i="130"/>
  <c r="AJ87" i="130"/>
  <c r="AI87" i="130"/>
  <c r="AH87" i="130"/>
  <c r="AG87" i="130"/>
  <c r="AF87" i="130"/>
  <c r="AD87" i="130"/>
  <c r="AC87" i="130"/>
  <c r="AB87" i="130"/>
  <c r="Z87" i="130"/>
  <c r="W87" i="130"/>
  <c r="U87" i="130"/>
  <c r="T87" i="130"/>
  <c r="S87" i="130"/>
  <c r="Q87" i="130"/>
  <c r="O87" i="130"/>
  <c r="N87" i="130"/>
  <c r="M87" i="130"/>
  <c r="L87" i="130"/>
  <c r="K87" i="130"/>
  <c r="CL94" i="130"/>
  <c r="AS94" i="130"/>
  <c r="AR94" i="130"/>
  <c r="AQ94" i="130"/>
  <c r="AP94" i="130"/>
  <c r="AO94" i="130"/>
  <c r="AN94" i="130"/>
  <c r="AM94" i="130"/>
  <c r="AL94" i="130"/>
  <c r="AK94" i="130"/>
  <c r="AJ94" i="130"/>
  <c r="AI94" i="130"/>
  <c r="AH94" i="130"/>
  <c r="AG94" i="130"/>
  <c r="AF94" i="130"/>
  <c r="AE94" i="130"/>
  <c r="AD94" i="130"/>
  <c r="AC94" i="130"/>
  <c r="AB94" i="130"/>
  <c r="AA94" i="130"/>
  <c r="Z94" i="130"/>
  <c r="Y94" i="130"/>
  <c r="X94" i="130"/>
  <c r="W94" i="130"/>
  <c r="V94" i="130"/>
  <c r="U94" i="130"/>
  <c r="T94" i="130"/>
  <c r="S94" i="130"/>
  <c r="R94" i="130"/>
  <c r="Q94" i="130"/>
  <c r="P94" i="130"/>
  <c r="O94" i="130"/>
  <c r="N94" i="130"/>
  <c r="M94" i="130"/>
  <c r="L94" i="130"/>
  <c r="K94" i="130"/>
  <c r="CK94" i="130"/>
  <c r="CJ94" i="130"/>
  <c r="CI94" i="130"/>
  <c r="CH94" i="130"/>
  <c r="CG94" i="130"/>
  <c r="CF94" i="130"/>
  <c r="CE94" i="130"/>
  <c r="CD94" i="130"/>
  <c r="CC94" i="130"/>
  <c r="CB94" i="130"/>
  <c r="CA94" i="130"/>
  <c r="BZ94" i="130"/>
  <c r="BY94" i="130"/>
  <c r="BX94" i="130"/>
  <c r="BW94" i="130"/>
  <c r="BV94" i="130"/>
  <c r="BU94" i="130"/>
  <c r="BT94" i="130"/>
  <c r="BS94" i="130"/>
  <c r="BR94" i="130"/>
  <c r="BP94" i="130"/>
  <c r="BQ94" i="130"/>
  <c r="BO94" i="130"/>
  <c r="BM94" i="130"/>
  <c r="BN94" i="130"/>
  <c r="BL94" i="130"/>
  <c r="BK94" i="130"/>
  <c r="BI94" i="130"/>
  <c r="BH94" i="130"/>
  <c r="BJ94" i="130"/>
  <c r="BG94" i="130"/>
  <c r="BF94" i="130"/>
  <c r="BE94" i="130"/>
  <c r="BD94" i="130"/>
  <c r="BC94" i="130"/>
  <c r="BB94" i="130"/>
  <c r="BA94" i="130"/>
  <c r="AZ94" i="130"/>
  <c r="AY94" i="130"/>
  <c r="AW94" i="130"/>
  <c r="AV94" i="130"/>
  <c r="AU94" i="130"/>
  <c r="AX94" i="130"/>
  <c r="AS69" i="130"/>
  <c r="AS71" i="130"/>
  <c r="AS54" i="130"/>
  <c r="AS45" i="130"/>
  <c r="AS47" i="130"/>
  <c r="AS23" i="130"/>
  <c r="AS16" i="130"/>
  <c r="AS17" i="130" s="1"/>
  <c r="AS13" i="130"/>
  <c r="AS7" i="130"/>
  <c r="AS14" i="130"/>
  <c r="AS107" i="130"/>
  <c r="AR107" i="130"/>
  <c r="AQ107" i="130"/>
  <c r="AS106" i="130"/>
  <c r="AR106" i="130"/>
  <c r="AQ106" i="130"/>
  <c r="AS105" i="130"/>
  <c r="AR105" i="130"/>
  <c r="AQ105" i="130"/>
  <c r="AS104" i="130"/>
  <c r="AR104" i="130"/>
  <c r="AQ104" i="130"/>
  <c r="AS103" i="130"/>
  <c r="AR103" i="130"/>
  <c r="AQ103" i="130"/>
  <c r="AS102" i="130"/>
  <c r="AR102" i="130"/>
  <c r="AQ102" i="130"/>
  <c r="AS101" i="130"/>
  <c r="AR101" i="130"/>
  <c r="AQ101" i="130"/>
  <c r="AR98" i="130"/>
  <c r="AQ98" i="130"/>
  <c r="AR99" i="130"/>
  <c r="AQ99" i="130"/>
  <c r="AR96" i="130"/>
  <c r="AQ96" i="130"/>
  <c r="AR95" i="130"/>
  <c r="AQ95" i="130"/>
  <c r="AR97" i="130"/>
  <c r="AQ97" i="130"/>
  <c r="AS85" i="130"/>
  <c r="AR85" i="130"/>
  <c r="AQ85" i="130"/>
  <c r="AS84" i="130"/>
  <c r="AR84" i="130"/>
  <c r="AQ84" i="130"/>
  <c r="AS83" i="130"/>
  <c r="AR83" i="130"/>
  <c r="AQ83" i="130"/>
  <c r="CG82" i="130"/>
  <c r="CF82" i="130"/>
  <c r="AS82" i="130" s="1"/>
  <c r="CI82" i="130"/>
  <c r="AR82" i="130"/>
  <c r="CK82" i="130"/>
  <c r="AQ82" i="130" s="1"/>
  <c r="AS81" i="130"/>
  <c r="AR81" i="130"/>
  <c r="AQ81" i="130"/>
  <c r="AS80" i="130"/>
  <c r="AR80" i="130"/>
  <c r="AQ80" i="130"/>
  <c r="AS78" i="130"/>
  <c r="AR78" i="130"/>
  <c r="AQ78" i="130"/>
  <c r="AS77" i="130"/>
  <c r="AR77" i="130"/>
  <c r="AQ77" i="130"/>
  <c r="AS76" i="130"/>
  <c r="AR76" i="130"/>
  <c r="AQ76" i="130"/>
  <c r="AS75" i="130"/>
  <c r="AR75" i="130"/>
  <c r="AQ75" i="130"/>
  <c r="AS74" i="130"/>
  <c r="AR74" i="130"/>
  <c r="AQ74" i="130"/>
  <c r="AS73" i="130"/>
  <c r="AR73" i="130"/>
  <c r="AQ73" i="130"/>
  <c r="CI71" i="130"/>
  <c r="AR71" i="130" s="1"/>
  <c r="CK71" i="130"/>
  <c r="AQ71" i="130"/>
  <c r="AR70" i="130"/>
  <c r="AQ70" i="130"/>
  <c r="AR69" i="130"/>
  <c r="AQ69" i="130"/>
  <c r="AS61" i="130"/>
  <c r="AR61" i="130"/>
  <c r="AQ61" i="130"/>
  <c r="AS60" i="130"/>
  <c r="AR60" i="130"/>
  <c r="AQ60" i="130"/>
  <c r="AS63" i="130"/>
  <c r="AR63" i="130"/>
  <c r="AQ63" i="130"/>
  <c r="AS62" i="130"/>
  <c r="AR62" i="130"/>
  <c r="AQ62" i="130"/>
  <c r="AS59" i="130"/>
  <c r="AR59" i="130"/>
  <c r="AQ59" i="130"/>
  <c r="AS58" i="130"/>
  <c r="AR58" i="130"/>
  <c r="AQ58" i="130"/>
  <c r="AS57" i="130"/>
  <c r="AR57" i="130"/>
  <c r="AQ57" i="130"/>
  <c r="AS56" i="130"/>
  <c r="AR56" i="130"/>
  <c r="AQ56" i="130"/>
  <c r="AR54" i="130"/>
  <c r="AQ54" i="130"/>
  <c r="AR53" i="130"/>
  <c r="AR51" i="130"/>
  <c r="AQ51" i="130"/>
  <c r="AR50" i="130"/>
  <c r="AQ50" i="130"/>
  <c r="AR49" i="130"/>
  <c r="AQ49" i="130"/>
  <c r="AS48" i="130"/>
  <c r="AR48" i="130"/>
  <c r="AQ48" i="130"/>
  <c r="AR47" i="130"/>
  <c r="AQ47" i="130"/>
  <c r="AS46" i="130"/>
  <c r="AR46" i="130"/>
  <c r="AQ46" i="130"/>
  <c r="AR45" i="130"/>
  <c r="AQ45" i="130"/>
  <c r="AR44" i="130"/>
  <c r="AQ44" i="130"/>
  <c r="AR43" i="130"/>
  <c r="AQ43" i="130"/>
  <c r="AR42" i="130"/>
  <c r="AQ42" i="130"/>
  <c r="AS41" i="130"/>
  <c r="AR41" i="130"/>
  <c r="AQ41" i="130"/>
  <c r="AR39" i="130"/>
  <c r="AQ39" i="130"/>
  <c r="AS38" i="130"/>
  <c r="AR38" i="130"/>
  <c r="AQ38" i="130"/>
  <c r="AS37" i="130"/>
  <c r="AR37" i="130"/>
  <c r="AQ37" i="130"/>
  <c r="AS36" i="130"/>
  <c r="AR36" i="130"/>
  <c r="AQ36" i="130"/>
  <c r="CI33" i="130"/>
  <c r="AR33" i="130"/>
  <c r="CK33" i="130"/>
  <c r="AQ33" i="130" s="1"/>
  <c r="AR32" i="130"/>
  <c r="AQ32" i="130"/>
  <c r="AR31" i="130"/>
  <c r="CI30" i="130"/>
  <c r="AR30" i="130" s="1"/>
  <c r="CK30" i="130"/>
  <c r="AQ30" i="130"/>
  <c r="AR29" i="130"/>
  <c r="AQ29" i="130"/>
  <c r="AS28" i="130"/>
  <c r="AR28" i="130"/>
  <c r="AQ28" i="130"/>
  <c r="AS26" i="130"/>
  <c r="AQ26" i="130"/>
  <c r="AS25" i="130"/>
  <c r="AR25" i="130"/>
  <c r="AQ25" i="130"/>
  <c r="AS24" i="130"/>
  <c r="AR24" i="130"/>
  <c r="AR23" i="130"/>
  <c r="AQ23" i="130"/>
  <c r="AR17" i="130"/>
  <c r="AQ17" i="130"/>
  <c r="AS118" i="130"/>
  <c r="AR118" i="130"/>
  <c r="AQ118" i="130"/>
  <c r="AR16" i="130"/>
  <c r="AQ16" i="130"/>
  <c r="CI14" i="130"/>
  <c r="AR14" i="130"/>
  <c r="CK14" i="130"/>
  <c r="AQ14" i="130" s="1"/>
  <c r="AR13" i="130"/>
  <c r="AQ13" i="130"/>
  <c r="AS9" i="130"/>
  <c r="AR9" i="130"/>
  <c r="AQ9" i="130"/>
  <c r="AS12" i="130"/>
  <c r="AR12" i="130"/>
  <c r="AQ12" i="130"/>
  <c r="AS8" i="130"/>
  <c r="AR8" i="130"/>
  <c r="AQ8" i="130"/>
  <c r="AS11" i="130"/>
  <c r="AR11" i="130"/>
  <c r="AQ11" i="130"/>
  <c r="AS10" i="130"/>
  <c r="AR10" i="130"/>
  <c r="AQ10" i="130"/>
  <c r="AR7" i="130"/>
  <c r="AQ7" i="130"/>
  <c r="AP107" i="130"/>
  <c r="AO107" i="130"/>
  <c r="AN107" i="130"/>
  <c r="AM107" i="130"/>
  <c r="AP106" i="130"/>
  <c r="AO106" i="130"/>
  <c r="AN106" i="130"/>
  <c r="AM106" i="130"/>
  <c r="AP105" i="130"/>
  <c r="AO105" i="130"/>
  <c r="AN105" i="130"/>
  <c r="AM105" i="130"/>
  <c r="AP104" i="130"/>
  <c r="AO104" i="130"/>
  <c r="AN104" i="130"/>
  <c r="AM104" i="130"/>
  <c r="AP103" i="130"/>
  <c r="AO103" i="130"/>
  <c r="AN103" i="130"/>
  <c r="AM103" i="130"/>
  <c r="AP102" i="130"/>
  <c r="AO102" i="130"/>
  <c r="AN102" i="130"/>
  <c r="AM102" i="130"/>
  <c r="AP101" i="130"/>
  <c r="AO101" i="130"/>
  <c r="AN101" i="130"/>
  <c r="AM101" i="130"/>
  <c r="AP98" i="130"/>
  <c r="AO98" i="130"/>
  <c r="AN98" i="130"/>
  <c r="AM98" i="130"/>
  <c r="AP99" i="130"/>
  <c r="AO99" i="130"/>
  <c r="AN99" i="130"/>
  <c r="AM99" i="130"/>
  <c r="AP96" i="130"/>
  <c r="AO96" i="130"/>
  <c r="AN96" i="130"/>
  <c r="AM96" i="130"/>
  <c r="AP95" i="130"/>
  <c r="AO95" i="130"/>
  <c r="AN95" i="130"/>
  <c r="AM95" i="130"/>
  <c r="AP97" i="130"/>
  <c r="AO97" i="130"/>
  <c r="AN97" i="130"/>
  <c r="AM97" i="130"/>
  <c r="AP85" i="130"/>
  <c r="AO85" i="130"/>
  <c r="AN85" i="130"/>
  <c r="AM85" i="130"/>
  <c r="AP84" i="130"/>
  <c r="AO84" i="130"/>
  <c r="AN84" i="130"/>
  <c r="AM84" i="130"/>
  <c r="AP83" i="130"/>
  <c r="AO83" i="130"/>
  <c r="AN83" i="130"/>
  <c r="AM83" i="130"/>
  <c r="CD82" i="130"/>
  <c r="AP82" i="130" s="1"/>
  <c r="CC82" i="130"/>
  <c r="AO82" i="130"/>
  <c r="CJ82" i="130"/>
  <c r="AN82" i="130" s="1"/>
  <c r="CH82" i="130"/>
  <c r="AM82" i="130" s="1"/>
  <c r="AP81" i="130"/>
  <c r="AO81" i="130"/>
  <c r="AN81" i="130"/>
  <c r="AM81" i="130"/>
  <c r="AP80" i="130"/>
  <c r="AO80" i="130"/>
  <c r="AN80" i="130"/>
  <c r="AM80" i="130"/>
  <c r="AP78" i="130"/>
  <c r="AO78" i="130"/>
  <c r="AN78" i="130"/>
  <c r="AM78" i="130"/>
  <c r="AP77" i="130"/>
  <c r="AO77" i="130"/>
  <c r="AN77" i="130"/>
  <c r="AM77" i="130"/>
  <c r="AP76" i="130"/>
  <c r="AO76" i="130"/>
  <c r="AN76" i="130"/>
  <c r="AM76" i="130"/>
  <c r="AP75" i="130"/>
  <c r="AO75" i="130"/>
  <c r="AN75" i="130"/>
  <c r="AM75" i="130"/>
  <c r="AP74" i="130"/>
  <c r="AO74" i="130"/>
  <c r="AN74" i="130"/>
  <c r="AM74" i="130"/>
  <c r="AP73" i="130"/>
  <c r="AO73" i="130"/>
  <c r="AN73" i="130"/>
  <c r="AM73" i="130"/>
  <c r="CD71" i="130"/>
  <c r="AP71" i="130" s="1"/>
  <c r="CC71" i="130"/>
  <c r="AO71" i="130"/>
  <c r="CJ71" i="130"/>
  <c r="AN71" i="130" s="1"/>
  <c r="CH71" i="130"/>
  <c r="AM71" i="130"/>
  <c r="AP70" i="130"/>
  <c r="AO70" i="130"/>
  <c r="AN70" i="130"/>
  <c r="AM70" i="130"/>
  <c r="AP69" i="130"/>
  <c r="AO69" i="130"/>
  <c r="AN69" i="130"/>
  <c r="AM69" i="130"/>
  <c r="AP61" i="130"/>
  <c r="AO61" i="130"/>
  <c r="AN61" i="130"/>
  <c r="AM61" i="130"/>
  <c r="AP60" i="130"/>
  <c r="AO60" i="130"/>
  <c r="AN60" i="130"/>
  <c r="AM60" i="130"/>
  <c r="AP63" i="130"/>
  <c r="AO63" i="130"/>
  <c r="AN63" i="130"/>
  <c r="AM63" i="130"/>
  <c r="AP62" i="130"/>
  <c r="AO62" i="130"/>
  <c r="AN62" i="130"/>
  <c r="AM62" i="130"/>
  <c r="AP59" i="130"/>
  <c r="AO59" i="130"/>
  <c r="AN59" i="130"/>
  <c r="AM59" i="130"/>
  <c r="AP58" i="130"/>
  <c r="AO58" i="130"/>
  <c r="AN58" i="130"/>
  <c r="AM58" i="130"/>
  <c r="AP57" i="130"/>
  <c r="AO57" i="130"/>
  <c r="AN57" i="130"/>
  <c r="AM57" i="130"/>
  <c r="AP56" i="130"/>
  <c r="AO56" i="130"/>
  <c r="AN56" i="130"/>
  <c r="AM56" i="130"/>
  <c r="AP54" i="130"/>
  <c r="AO54" i="130"/>
  <c r="AN54" i="130"/>
  <c r="AM54" i="130"/>
  <c r="AO53" i="130"/>
  <c r="AP51" i="130"/>
  <c r="AN51" i="130"/>
  <c r="AP50" i="130"/>
  <c r="AO50" i="130"/>
  <c r="AN50" i="130"/>
  <c r="AM50" i="130"/>
  <c r="AP49" i="130"/>
  <c r="AO49" i="130"/>
  <c r="AN49" i="130"/>
  <c r="AM49" i="130"/>
  <c r="AP48" i="130"/>
  <c r="AO48" i="130"/>
  <c r="AN48" i="130"/>
  <c r="AM48" i="130"/>
  <c r="AP47" i="130"/>
  <c r="AO47" i="130"/>
  <c r="AN47" i="130"/>
  <c r="AM47" i="130"/>
  <c r="AP46" i="130"/>
  <c r="AO46" i="130"/>
  <c r="AN46" i="130"/>
  <c r="AM46" i="130"/>
  <c r="AP45" i="130"/>
  <c r="AO45" i="130"/>
  <c r="AN45" i="130"/>
  <c r="AM45" i="130"/>
  <c r="AP44" i="130"/>
  <c r="AO44" i="130"/>
  <c r="AM44" i="130"/>
  <c r="AP43" i="130"/>
  <c r="AO43" i="130"/>
  <c r="AN43" i="130"/>
  <c r="AM43" i="130"/>
  <c r="AP42" i="130"/>
  <c r="AO42" i="130"/>
  <c r="AN42" i="130"/>
  <c r="AM42" i="130"/>
  <c r="AP41" i="130"/>
  <c r="AO41" i="130"/>
  <c r="AN41" i="130"/>
  <c r="AM41" i="130"/>
  <c r="AP39" i="130"/>
  <c r="AO39" i="130"/>
  <c r="AN39" i="130"/>
  <c r="AM39" i="130"/>
  <c r="AP38" i="130"/>
  <c r="AO38" i="130"/>
  <c r="AN38" i="130"/>
  <c r="AM38" i="130"/>
  <c r="AP37" i="130"/>
  <c r="AO37" i="130"/>
  <c r="AN37" i="130"/>
  <c r="AM37" i="130"/>
  <c r="AP36" i="130"/>
  <c r="AO36" i="130"/>
  <c r="AN36" i="130"/>
  <c r="AM36" i="130"/>
  <c r="CD33" i="130"/>
  <c r="AP33" i="130"/>
  <c r="CC33" i="130"/>
  <c r="AO33" i="130" s="1"/>
  <c r="CJ33" i="130"/>
  <c r="AN33" i="130" s="1"/>
  <c r="CH33" i="130"/>
  <c r="AM33" i="130"/>
  <c r="AP32" i="130"/>
  <c r="AO32" i="130"/>
  <c r="AN32" i="130"/>
  <c r="AM32" i="130"/>
  <c r="AP31" i="130"/>
  <c r="AN31" i="130"/>
  <c r="AM31" i="130"/>
  <c r="CD30" i="130"/>
  <c r="AP30" i="130"/>
  <c r="CC30" i="130"/>
  <c r="AO30" i="130" s="1"/>
  <c r="CJ30" i="130"/>
  <c r="AN30" i="130" s="1"/>
  <c r="CH30" i="130"/>
  <c r="AM30" i="130"/>
  <c r="AP29" i="130"/>
  <c r="AN29" i="130"/>
  <c r="AM29" i="130"/>
  <c r="AP28" i="130"/>
  <c r="AO28" i="130"/>
  <c r="AN28" i="130"/>
  <c r="AP26" i="130"/>
  <c r="AO26" i="130"/>
  <c r="AN26" i="130"/>
  <c r="AM26" i="130"/>
  <c r="AP25" i="130"/>
  <c r="AO25" i="130"/>
  <c r="AN25" i="130"/>
  <c r="AM25" i="130"/>
  <c r="AP24" i="130"/>
  <c r="AN24" i="130"/>
  <c r="AM24" i="130"/>
  <c r="AP23" i="130"/>
  <c r="AO23" i="130"/>
  <c r="AN23" i="130"/>
  <c r="AM23" i="130"/>
  <c r="AP17" i="130"/>
  <c r="AO17" i="130"/>
  <c r="AN17" i="130"/>
  <c r="AM17" i="130"/>
  <c r="AP118" i="130"/>
  <c r="AO118" i="130"/>
  <c r="AN118" i="130"/>
  <c r="AM118" i="130"/>
  <c r="AP16" i="130"/>
  <c r="AO16" i="130"/>
  <c r="AN16" i="130"/>
  <c r="AM16" i="130"/>
  <c r="CD14" i="130"/>
  <c r="AP14" i="130" s="1"/>
  <c r="CC14" i="130"/>
  <c r="AO14" i="130" s="1"/>
  <c r="CJ14" i="130"/>
  <c r="AN14" i="130" s="1"/>
  <c r="CH14" i="130"/>
  <c r="AM14" i="130"/>
  <c r="AP13" i="130"/>
  <c r="AO13" i="130"/>
  <c r="AN13" i="130"/>
  <c r="AM13" i="130"/>
  <c r="AP9" i="130"/>
  <c r="AO9" i="130"/>
  <c r="AN9" i="130"/>
  <c r="AM9" i="130"/>
  <c r="AP12" i="130"/>
  <c r="AO12" i="130"/>
  <c r="AN12" i="130"/>
  <c r="AM12" i="130"/>
  <c r="AP8" i="130"/>
  <c r="AO8" i="130"/>
  <c r="AN8" i="130"/>
  <c r="AM8" i="130"/>
  <c r="AP11" i="130"/>
  <c r="AO11" i="130"/>
  <c r="AN11" i="130"/>
  <c r="AM11" i="130"/>
  <c r="AP10" i="130"/>
  <c r="AO10" i="130"/>
  <c r="AN10" i="130"/>
  <c r="AM10" i="130"/>
  <c r="AP7" i="130"/>
  <c r="AO7" i="130"/>
  <c r="AN7" i="130"/>
  <c r="AM7" i="130"/>
  <c r="AL107" i="130"/>
  <c r="AK107" i="130"/>
  <c r="AJ107" i="130"/>
  <c r="AL106" i="130"/>
  <c r="AK106" i="130"/>
  <c r="AJ106" i="130"/>
  <c r="AL105" i="130"/>
  <c r="AK105" i="130"/>
  <c r="AJ105" i="130"/>
  <c r="AL104" i="130"/>
  <c r="AK104" i="130"/>
  <c r="AJ104" i="130"/>
  <c r="AL103" i="130"/>
  <c r="AK103" i="130"/>
  <c r="AJ103" i="130"/>
  <c r="AL102" i="130"/>
  <c r="AK102" i="130"/>
  <c r="AJ102" i="130"/>
  <c r="AL101" i="130"/>
  <c r="AK101" i="130"/>
  <c r="AJ101" i="130"/>
  <c r="AL98" i="130"/>
  <c r="AK98" i="130"/>
  <c r="AJ98" i="130"/>
  <c r="AL99" i="130"/>
  <c r="AK99" i="130"/>
  <c r="AJ99" i="130"/>
  <c r="AL96" i="130"/>
  <c r="AK96" i="130"/>
  <c r="AJ96" i="130"/>
  <c r="AL95" i="130"/>
  <c r="AK95" i="130"/>
  <c r="AJ95" i="130"/>
  <c r="AL97" i="130"/>
  <c r="AK97" i="130"/>
  <c r="AJ97" i="130"/>
  <c r="AL85" i="130"/>
  <c r="AK85" i="130"/>
  <c r="AJ85" i="130"/>
  <c r="AL84" i="130"/>
  <c r="AK84" i="130"/>
  <c r="AJ84" i="130"/>
  <c r="AL83" i="130"/>
  <c r="AK83" i="130"/>
  <c r="AJ83" i="130"/>
  <c r="CE82" i="130"/>
  <c r="AL82" i="130"/>
  <c r="CB82" i="130"/>
  <c r="AK82" i="130" s="1"/>
  <c r="BY82" i="130"/>
  <c r="AJ82" i="130" s="1"/>
  <c r="AL81" i="130"/>
  <c r="AK81" i="130"/>
  <c r="AJ81" i="130"/>
  <c r="AL80" i="130"/>
  <c r="AK80" i="130"/>
  <c r="AJ80" i="130"/>
  <c r="AL78" i="130"/>
  <c r="AK78" i="130"/>
  <c r="AJ78" i="130"/>
  <c r="AL77" i="130"/>
  <c r="AK77" i="130"/>
  <c r="AJ77" i="130"/>
  <c r="AL76" i="130"/>
  <c r="AK76" i="130"/>
  <c r="AJ76" i="130"/>
  <c r="AL75" i="130"/>
  <c r="AK75" i="130"/>
  <c r="AJ75" i="130"/>
  <c r="AL74" i="130"/>
  <c r="AK74" i="130"/>
  <c r="AJ74" i="130"/>
  <c r="AL73" i="130"/>
  <c r="AK73" i="130"/>
  <c r="AJ73" i="130"/>
  <c r="CE71" i="130"/>
  <c r="AL71" i="130"/>
  <c r="CB71" i="130"/>
  <c r="AK71" i="130" s="1"/>
  <c r="BY71" i="130"/>
  <c r="AJ71" i="130" s="1"/>
  <c r="AL70" i="130"/>
  <c r="AK70" i="130"/>
  <c r="AJ70" i="130"/>
  <c r="AL69" i="130"/>
  <c r="AK69" i="130"/>
  <c r="AJ69" i="130"/>
  <c r="AL61" i="130"/>
  <c r="AK61" i="130"/>
  <c r="AJ61" i="130"/>
  <c r="AL60" i="130"/>
  <c r="AK60" i="130"/>
  <c r="AJ60" i="130"/>
  <c r="AL63" i="130"/>
  <c r="AK63" i="130"/>
  <c r="AJ63" i="130"/>
  <c r="AL62" i="130"/>
  <c r="AK62" i="130"/>
  <c r="AJ62" i="130"/>
  <c r="AL59" i="130"/>
  <c r="AK59" i="130"/>
  <c r="AJ59" i="130"/>
  <c r="AL58" i="130"/>
  <c r="AK58" i="130"/>
  <c r="AJ58" i="130"/>
  <c r="AL57" i="130"/>
  <c r="AK57" i="130"/>
  <c r="AJ57" i="130"/>
  <c r="AL56" i="130"/>
  <c r="AK56" i="130"/>
  <c r="AJ56" i="130"/>
  <c r="AL54" i="130"/>
  <c r="AK54" i="130"/>
  <c r="AJ54" i="130"/>
  <c r="AJ53" i="130"/>
  <c r="AL51" i="130"/>
  <c r="AK51" i="130"/>
  <c r="AJ51" i="130"/>
  <c r="AL50" i="130"/>
  <c r="AK50" i="130"/>
  <c r="AJ50" i="130"/>
  <c r="AL49" i="130"/>
  <c r="AK49" i="130"/>
  <c r="AJ49" i="130"/>
  <c r="AL48" i="130"/>
  <c r="AK48" i="130"/>
  <c r="AJ48" i="130"/>
  <c r="AL47" i="130"/>
  <c r="AK47" i="130"/>
  <c r="AJ47" i="130"/>
  <c r="AL46" i="130"/>
  <c r="AK46" i="130"/>
  <c r="AJ46" i="130"/>
  <c r="AL45" i="130"/>
  <c r="AK45" i="130"/>
  <c r="AJ45" i="130"/>
  <c r="AK44" i="130"/>
  <c r="AJ44" i="130"/>
  <c r="AL43" i="130"/>
  <c r="AK43" i="130"/>
  <c r="AJ43" i="130"/>
  <c r="AL42" i="130"/>
  <c r="AK42" i="130"/>
  <c r="AJ42" i="130"/>
  <c r="AL41" i="130"/>
  <c r="AK41" i="130"/>
  <c r="AJ41" i="130"/>
  <c r="AL39" i="130"/>
  <c r="AK39" i="130"/>
  <c r="AJ39" i="130"/>
  <c r="AL38" i="130"/>
  <c r="AK38" i="130"/>
  <c r="AJ38" i="130"/>
  <c r="AL37" i="130"/>
  <c r="AK37" i="130"/>
  <c r="AJ37" i="130"/>
  <c r="AL36" i="130"/>
  <c r="AK36" i="130"/>
  <c r="AJ36" i="130"/>
  <c r="CE33" i="130"/>
  <c r="AL33" i="130" s="1"/>
  <c r="CB33" i="130"/>
  <c r="AK33" i="130" s="1"/>
  <c r="BY33" i="130"/>
  <c r="AJ33" i="130" s="1"/>
  <c r="AL32" i="130"/>
  <c r="AK32" i="130"/>
  <c r="AJ32" i="130"/>
  <c r="AL31" i="130"/>
  <c r="AK31" i="130"/>
  <c r="AJ31" i="130"/>
  <c r="CE30" i="130"/>
  <c r="AL30" i="130" s="1"/>
  <c r="CB30" i="130"/>
  <c r="AK30" i="130"/>
  <c r="BY30" i="130"/>
  <c r="AJ30" i="130" s="1"/>
  <c r="AL29" i="130"/>
  <c r="AK29" i="130"/>
  <c r="AJ29" i="130"/>
  <c r="AL28" i="130"/>
  <c r="AJ28" i="130"/>
  <c r="AL26" i="130"/>
  <c r="AK26" i="130"/>
  <c r="AJ26" i="130"/>
  <c r="AL25" i="130"/>
  <c r="AK25" i="130"/>
  <c r="AJ25" i="130"/>
  <c r="AL24" i="130"/>
  <c r="AK24" i="130"/>
  <c r="AJ24" i="130"/>
  <c r="AL23" i="130"/>
  <c r="AK23" i="130"/>
  <c r="AJ23" i="130"/>
  <c r="AL17" i="130"/>
  <c r="AK17" i="130"/>
  <c r="AJ17" i="130"/>
  <c r="AL118" i="130"/>
  <c r="AK118" i="130"/>
  <c r="AJ118" i="130"/>
  <c r="AL16" i="130"/>
  <c r="AK16" i="130"/>
  <c r="AJ16" i="130"/>
  <c r="CE14" i="130"/>
  <c r="AL14" i="130" s="1"/>
  <c r="CB14" i="130"/>
  <c r="AK14" i="130" s="1"/>
  <c r="BY14" i="130"/>
  <c r="AJ14" i="130" s="1"/>
  <c r="AL13" i="130"/>
  <c r="AK13" i="130"/>
  <c r="AJ13" i="130"/>
  <c r="AL9" i="130"/>
  <c r="AK9" i="130"/>
  <c r="AJ9" i="130"/>
  <c r="AL12" i="130"/>
  <c r="AK12" i="130"/>
  <c r="AJ12" i="130"/>
  <c r="AL8" i="130"/>
  <c r="AK8" i="130"/>
  <c r="AJ8" i="130"/>
  <c r="AL11" i="130"/>
  <c r="AK11" i="130"/>
  <c r="AJ11" i="130"/>
  <c r="AL10" i="130"/>
  <c r="AK10" i="130"/>
  <c r="AJ10" i="130"/>
  <c r="AL7" i="130"/>
  <c r="AK7" i="130"/>
  <c r="AJ7" i="130"/>
  <c r="AI107" i="130"/>
  <c r="AH107" i="130"/>
  <c r="AG107" i="130"/>
  <c r="AF107" i="130"/>
  <c r="AI106" i="130"/>
  <c r="AH106" i="130"/>
  <c r="AG106" i="130"/>
  <c r="AF106" i="130"/>
  <c r="AI105" i="130"/>
  <c r="AH105" i="130"/>
  <c r="AG105" i="130"/>
  <c r="AF105" i="130"/>
  <c r="AI104" i="130"/>
  <c r="AH104" i="130"/>
  <c r="AG104" i="130"/>
  <c r="AF104" i="130"/>
  <c r="AI103" i="130"/>
  <c r="AH103" i="130"/>
  <c r="AG103" i="130"/>
  <c r="AF103" i="130"/>
  <c r="AI102" i="130"/>
  <c r="AH102" i="130"/>
  <c r="AG102" i="130"/>
  <c r="AF102" i="130"/>
  <c r="AI101" i="130"/>
  <c r="AH101" i="130"/>
  <c r="AG101" i="130"/>
  <c r="AF101" i="130"/>
  <c r="AI98" i="130"/>
  <c r="AH98" i="130"/>
  <c r="AG98" i="130"/>
  <c r="AF98" i="130"/>
  <c r="AI99" i="130"/>
  <c r="AH99" i="130"/>
  <c r="AG99" i="130"/>
  <c r="AF99" i="130"/>
  <c r="AI96" i="130"/>
  <c r="AH96" i="130"/>
  <c r="AG96" i="130"/>
  <c r="AF96" i="130"/>
  <c r="AI95" i="130"/>
  <c r="AH95" i="130"/>
  <c r="AG95" i="130"/>
  <c r="AF95" i="130"/>
  <c r="AI97" i="130"/>
  <c r="AH97" i="130"/>
  <c r="AG97" i="130"/>
  <c r="AF97" i="130"/>
  <c r="AI85" i="130"/>
  <c r="AH85" i="130"/>
  <c r="AG85" i="130"/>
  <c r="AF85" i="130"/>
  <c r="AI84" i="130"/>
  <c r="AH84" i="130"/>
  <c r="AG84" i="130"/>
  <c r="AF84" i="130"/>
  <c r="AI83" i="130"/>
  <c r="AH83" i="130"/>
  <c r="AG83" i="130"/>
  <c r="AF83" i="130"/>
  <c r="BW82" i="130"/>
  <c r="AI82" i="130" s="1"/>
  <c r="BZ82" i="130"/>
  <c r="AH82" i="130"/>
  <c r="BV82" i="130"/>
  <c r="AG82" i="130" s="1"/>
  <c r="CA82" i="130"/>
  <c r="AF82" i="130"/>
  <c r="AI81" i="130"/>
  <c r="AH81" i="130"/>
  <c r="AG81" i="130"/>
  <c r="AF81" i="130"/>
  <c r="AI80" i="130"/>
  <c r="AH80" i="130"/>
  <c r="AG80" i="130"/>
  <c r="AF80" i="130"/>
  <c r="AI78" i="130"/>
  <c r="AH78" i="130"/>
  <c r="AG78" i="130"/>
  <c r="AF78" i="130"/>
  <c r="AI77" i="130"/>
  <c r="AH77" i="130"/>
  <c r="AG77" i="130"/>
  <c r="AF77" i="130"/>
  <c r="AI76" i="130"/>
  <c r="AH76" i="130"/>
  <c r="AG76" i="130"/>
  <c r="AF76" i="130"/>
  <c r="AI75" i="130"/>
  <c r="AH75" i="130"/>
  <c r="AG75" i="130"/>
  <c r="AF75" i="130"/>
  <c r="AI74" i="130"/>
  <c r="AH74" i="130"/>
  <c r="AG74" i="130"/>
  <c r="AF74" i="130"/>
  <c r="AI73" i="130"/>
  <c r="AH73" i="130"/>
  <c r="AG73" i="130"/>
  <c r="AF73" i="130"/>
  <c r="BW71" i="130"/>
  <c r="AI71" i="130" s="1"/>
  <c r="BZ71" i="130"/>
  <c r="AH71" i="130" s="1"/>
  <c r="BV71" i="130"/>
  <c r="AG71" i="130" s="1"/>
  <c r="CA71" i="130"/>
  <c r="AF71" i="130"/>
  <c r="AI70" i="130"/>
  <c r="AH70" i="130"/>
  <c r="AG70" i="130"/>
  <c r="AF70" i="130"/>
  <c r="AI69" i="130"/>
  <c r="AH69" i="130"/>
  <c r="AG69" i="130"/>
  <c r="AF69" i="130"/>
  <c r="AI61" i="130"/>
  <c r="AH61" i="130"/>
  <c r="AG61" i="130"/>
  <c r="AF61" i="130"/>
  <c r="AI60" i="130"/>
  <c r="AH60" i="130"/>
  <c r="AG60" i="130"/>
  <c r="AF60" i="130"/>
  <c r="AI63" i="130"/>
  <c r="AH63" i="130"/>
  <c r="AG63" i="130"/>
  <c r="AF63" i="130"/>
  <c r="AI62" i="130"/>
  <c r="AH62" i="130"/>
  <c r="AG62" i="130"/>
  <c r="AF62" i="130"/>
  <c r="AI59" i="130"/>
  <c r="AH59" i="130"/>
  <c r="AG59" i="130"/>
  <c r="AF59" i="130"/>
  <c r="AI58" i="130"/>
  <c r="AH58" i="130"/>
  <c r="AG58" i="130"/>
  <c r="AF58" i="130"/>
  <c r="AI57" i="130"/>
  <c r="AH57" i="130"/>
  <c r="AG57" i="130"/>
  <c r="AF57" i="130"/>
  <c r="AI56" i="130"/>
  <c r="AH56" i="130"/>
  <c r="AG56" i="130"/>
  <c r="AF56" i="130"/>
  <c r="AI54" i="130"/>
  <c r="AH54" i="130"/>
  <c r="AG54" i="130"/>
  <c r="AF54" i="130"/>
  <c r="AI53" i="130"/>
  <c r="AG53" i="130"/>
  <c r="AF53" i="130"/>
  <c r="AH51" i="130"/>
  <c r="AG51" i="130"/>
  <c r="AF51" i="130"/>
  <c r="AI50" i="130"/>
  <c r="AH50" i="130"/>
  <c r="AG50" i="130"/>
  <c r="AF50" i="130"/>
  <c r="AI49" i="130"/>
  <c r="AH49" i="130"/>
  <c r="AG49" i="130"/>
  <c r="AF49" i="130"/>
  <c r="AI48" i="130"/>
  <c r="AH48" i="130"/>
  <c r="AG48" i="130"/>
  <c r="AF48" i="130"/>
  <c r="AI47" i="130"/>
  <c r="AH47" i="130"/>
  <c r="AG47" i="130"/>
  <c r="AF47" i="130"/>
  <c r="AI46" i="130"/>
  <c r="AH46" i="130"/>
  <c r="AG46" i="130"/>
  <c r="AF46" i="130"/>
  <c r="AI45" i="130"/>
  <c r="AH45" i="130"/>
  <c r="AG45" i="130"/>
  <c r="AF45" i="130"/>
  <c r="AI44" i="130"/>
  <c r="AG44" i="130"/>
  <c r="AF44" i="130"/>
  <c r="AI43" i="130"/>
  <c r="AH43" i="130"/>
  <c r="AG43" i="130"/>
  <c r="AF43" i="130"/>
  <c r="AI42" i="130"/>
  <c r="AH42" i="130"/>
  <c r="AG42" i="130"/>
  <c r="AF42" i="130"/>
  <c r="AI41" i="130"/>
  <c r="AH41" i="130"/>
  <c r="AG41" i="130"/>
  <c r="AF41" i="130"/>
  <c r="AI39" i="130"/>
  <c r="AH39" i="130"/>
  <c r="AG39" i="130"/>
  <c r="AF39" i="130"/>
  <c r="AI38" i="130"/>
  <c r="AH38" i="130"/>
  <c r="AG38" i="130"/>
  <c r="AF38" i="130"/>
  <c r="AI37" i="130"/>
  <c r="AH37" i="130"/>
  <c r="AG37" i="130"/>
  <c r="AF37" i="130"/>
  <c r="AI36" i="130"/>
  <c r="AH36" i="130"/>
  <c r="AG36" i="130"/>
  <c r="AF36" i="130"/>
  <c r="BW33" i="130"/>
  <c r="AI33" i="130"/>
  <c r="BZ33" i="130"/>
  <c r="AH33" i="130" s="1"/>
  <c r="BV33" i="130"/>
  <c r="AG33" i="130"/>
  <c r="CA33" i="130"/>
  <c r="AF33" i="130" s="1"/>
  <c r="AI32" i="130"/>
  <c r="AH32" i="130"/>
  <c r="AG32" i="130"/>
  <c r="AF32" i="130"/>
  <c r="AI31" i="130"/>
  <c r="AH31" i="130"/>
  <c r="BW30" i="130"/>
  <c r="AI30" i="130"/>
  <c r="BZ30" i="130"/>
  <c r="AH30" i="130" s="1"/>
  <c r="BV30" i="130"/>
  <c r="AG30" i="130"/>
  <c r="CA30" i="130"/>
  <c r="AF30" i="130" s="1"/>
  <c r="AI29" i="130"/>
  <c r="AH29" i="130"/>
  <c r="AG29" i="130"/>
  <c r="AF29" i="130"/>
  <c r="AH28" i="130"/>
  <c r="AG28" i="130"/>
  <c r="AF28" i="130"/>
  <c r="AI26" i="130"/>
  <c r="AH26" i="130"/>
  <c r="AG26" i="130"/>
  <c r="AF26" i="130"/>
  <c r="AI25" i="130"/>
  <c r="AH25" i="130"/>
  <c r="AG25" i="130"/>
  <c r="AF25" i="130"/>
  <c r="AI24" i="130"/>
  <c r="AH24" i="130"/>
  <c r="AG24" i="130"/>
  <c r="AF24" i="130"/>
  <c r="AI23" i="130"/>
  <c r="AH23" i="130"/>
  <c r="AG23" i="130"/>
  <c r="AF23" i="130"/>
  <c r="AI17" i="130"/>
  <c r="AH17" i="130"/>
  <c r="AG17" i="130"/>
  <c r="AF17" i="130"/>
  <c r="AI118" i="130"/>
  <c r="AH118" i="130"/>
  <c r="AG118" i="130"/>
  <c r="AF118" i="130"/>
  <c r="AI16" i="130"/>
  <c r="AH16" i="130"/>
  <c r="AG16" i="130"/>
  <c r="AF16" i="130"/>
  <c r="BW14" i="130"/>
  <c r="AI14" i="130"/>
  <c r="BZ14" i="130"/>
  <c r="AH14" i="130" s="1"/>
  <c r="BV14" i="130"/>
  <c r="AG14" i="130"/>
  <c r="CA14" i="130"/>
  <c r="AF14" i="130" s="1"/>
  <c r="AI13" i="130"/>
  <c r="AH13" i="130"/>
  <c r="AG13" i="130"/>
  <c r="AF13" i="130"/>
  <c r="AI9" i="130"/>
  <c r="AH9" i="130"/>
  <c r="AG9" i="130"/>
  <c r="AF9" i="130"/>
  <c r="AI12" i="130"/>
  <c r="AH12" i="130"/>
  <c r="AG12" i="130"/>
  <c r="AF12" i="130"/>
  <c r="AI8" i="130"/>
  <c r="AH8" i="130"/>
  <c r="AG8" i="130"/>
  <c r="AF8" i="130"/>
  <c r="AI11" i="130"/>
  <c r="AH11" i="130"/>
  <c r="AG11" i="130"/>
  <c r="AF11" i="130"/>
  <c r="AI10" i="130"/>
  <c r="AH10" i="130"/>
  <c r="AG10" i="130"/>
  <c r="AF10" i="130"/>
  <c r="AI7" i="130"/>
  <c r="AH7" i="130"/>
  <c r="AG7" i="130"/>
  <c r="AF7" i="130"/>
  <c r="AE69" i="130"/>
  <c r="AE71" i="130" s="1"/>
  <c r="AE70" i="130"/>
  <c r="AE53" i="130"/>
  <c r="AE51" i="130"/>
  <c r="AE45" i="130"/>
  <c r="AE47" i="130" s="1"/>
  <c r="AE42" i="130"/>
  <c r="AE44" i="130"/>
  <c r="AE23" i="130"/>
  <c r="AE31" i="130" s="1"/>
  <c r="AE32" i="130"/>
  <c r="AE33" i="130" s="1"/>
  <c r="AE16" i="130"/>
  <c r="AE17" i="130"/>
  <c r="AE13" i="130"/>
  <c r="AE7" i="130"/>
  <c r="AE14" i="130"/>
  <c r="AE107" i="130"/>
  <c r="AE106" i="130"/>
  <c r="AE105" i="130"/>
  <c r="AE104" i="130"/>
  <c r="AE103" i="130"/>
  <c r="AE102" i="130"/>
  <c r="AE101" i="130"/>
  <c r="AE85" i="130"/>
  <c r="AE84" i="130"/>
  <c r="AE83" i="130"/>
  <c r="BT82" i="130"/>
  <c r="BS82" i="130"/>
  <c r="AE82" i="130" s="1"/>
  <c r="AE81" i="130"/>
  <c r="AE80" i="130"/>
  <c r="AE78" i="130"/>
  <c r="AE77" i="130"/>
  <c r="AE76" i="130"/>
  <c r="AE75" i="130"/>
  <c r="AE74" i="130"/>
  <c r="AE73" i="130"/>
  <c r="AE61" i="130"/>
  <c r="AE60" i="130"/>
  <c r="AE63" i="130"/>
  <c r="AE62" i="130"/>
  <c r="AE59" i="130"/>
  <c r="AE58" i="130"/>
  <c r="AE57" i="130"/>
  <c r="AE56" i="130"/>
  <c r="AE49" i="130"/>
  <c r="AE48" i="130"/>
  <c r="AE43" i="130"/>
  <c r="AE41" i="130"/>
  <c r="AE38" i="130"/>
  <c r="AE37" i="130"/>
  <c r="AE36" i="130"/>
  <c r="AE29" i="130"/>
  <c r="AE28" i="130"/>
  <c r="AE25" i="130"/>
  <c r="AE24" i="130"/>
  <c r="AE118" i="130"/>
  <c r="AE9" i="130"/>
  <c r="AE12" i="130"/>
  <c r="AE8" i="130"/>
  <c r="AE11" i="130"/>
  <c r="AE10" i="130"/>
  <c r="AD107" i="130"/>
  <c r="AC107" i="130"/>
  <c r="AB107" i="130"/>
  <c r="AD106" i="130"/>
  <c r="AC106" i="130"/>
  <c r="AB106" i="130"/>
  <c r="AD105" i="130"/>
  <c r="AC105" i="130"/>
  <c r="AB105" i="130"/>
  <c r="AD104" i="130"/>
  <c r="AC104" i="130"/>
  <c r="AB104" i="130"/>
  <c r="AD103" i="130"/>
  <c r="AC103" i="130"/>
  <c r="AB103" i="130"/>
  <c r="AD102" i="130"/>
  <c r="AC102" i="130"/>
  <c r="AB102" i="130"/>
  <c r="AD101" i="130"/>
  <c r="AC101" i="130"/>
  <c r="AB101" i="130"/>
  <c r="AD98" i="130"/>
  <c r="AC98" i="130"/>
  <c r="AB98" i="130"/>
  <c r="AD99" i="130"/>
  <c r="AC99" i="130"/>
  <c r="AB99" i="130"/>
  <c r="AD96" i="130"/>
  <c r="AC96" i="130"/>
  <c r="AB96" i="130"/>
  <c r="AD95" i="130"/>
  <c r="AC95" i="130"/>
  <c r="AB95" i="130"/>
  <c r="AD97" i="130"/>
  <c r="AC97" i="130"/>
  <c r="AB97" i="130"/>
  <c r="AD85" i="130"/>
  <c r="AC85" i="130"/>
  <c r="AB85" i="130"/>
  <c r="AD84" i="130"/>
  <c r="AC84" i="130"/>
  <c r="AB84" i="130"/>
  <c r="AD83" i="130"/>
  <c r="AC83" i="130"/>
  <c r="AB83" i="130"/>
  <c r="BU82" i="130"/>
  <c r="AD82" i="130" s="1"/>
  <c r="BX82" i="130"/>
  <c r="AC82" i="130"/>
  <c r="BP82" i="130"/>
  <c r="AB82" i="130" s="1"/>
  <c r="AD81" i="130"/>
  <c r="AC81" i="130"/>
  <c r="AB81" i="130"/>
  <c r="AD80" i="130"/>
  <c r="AC80" i="130"/>
  <c r="AB80" i="130"/>
  <c r="AD78" i="130"/>
  <c r="AC78" i="130"/>
  <c r="AB78" i="130"/>
  <c r="AD77" i="130"/>
  <c r="AC77" i="130"/>
  <c r="AB77" i="130"/>
  <c r="AD76" i="130"/>
  <c r="AC76" i="130"/>
  <c r="AB76" i="130"/>
  <c r="AD75" i="130"/>
  <c r="AC75" i="130"/>
  <c r="AB75" i="130"/>
  <c r="AD74" i="130"/>
  <c r="AC74" i="130"/>
  <c r="AB74" i="130"/>
  <c r="AD73" i="130"/>
  <c r="AC73" i="130"/>
  <c r="AB73" i="130"/>
  <c r="BU71" i="130"/>
  <c r="AD71" i="130" s="1"/>
  <c r="BX71" i="130"/>
  <c r="AC71" i="130"/>
  <c r="BP71" i="130"/>
  <c r="AB71" i="130" s="1"/>
  <c r="AD70" i="130"/>
  <c r="AC70" i="130"/>
  <c r="AB70" i="130"/>
  <c r="AD69" i="130"/>
  <c r="AC69" i="130"/>
  <c r="AB69" i="130"/>
  <c r="AD61" i="130"/>
  <c r="AC61" i="130"/>
  <c r="AB61" i="130"/>
  <c r="AD60" i="130"/>
  <c r="AC60" i="130"/>
  <c r="AB60" i="130"/>
  <c r="AD63" i="130"/>
  <c r="AC63" i="130"/>
  <c r="AB63" i="130"/>
  <c r="AD62" i="130"/>
  <c r="AC62" i="130"/>
  <c r="AB62" i="130"/>
  <c r="AD59" i="130"/>
  <c r="AC59" i="130"/>
  <c r="AB59" i="130"/>
  <c r="AD58" i="130"/>
  <c r="AC58" i="130"/>
  <c r="AB58" i="130"/>
  <c r="AD57" i="130"/>
  <c r="AC57" i="130"/>
  <c r="AB57" i="130"/>
  <c r="AD56" i="130"/>
  <c r="AC56" i="130"/>
  <c r="AB56" i="130"/>
  <c r="AD54" i="130"/>
  <c r="AC54" i="130"/>
  <c r="AB54" i="130"/>
  <c r="AD51" i="130"/>
  <c r="AC51" i="130"/>
  <c r="AB51" i="130"/>
  <c r="AD50" i="130"/>
  <c r="AC50" i="130"/>
  <c r="AB50" i="130"/>
  <c r="AD49" i="130"/>
  <c r="AC49" i="130"/>
  <c r="AB49" i="130"/>
  <c r="AD48" i="130"/>
  <c r="AC48" i="130"/>
  <c r="AB48" i="130"/>
  <c r="AD47" i="130"/>
  <c r="AC47" i="130"/>
  <c r="AB47" i="130"/>
  <c r="AD46" i="130"/>
  <c r="AC46" i="130"/>
  <c r="AB46" i="130"/>
  <c r="AD45" i="130"/>
  <c r="AC45" i="130"/>
  <c r="AB45" i="130"/>
  <c r="AD44" i="130"/>
  <c r="AC44" i="130"/>
  <c r="AD43" i="130"/>
  <c r="AC43" i="130"/>
  <c r="AB43" i="130"/>
  <c r="AD42" i="130"/>
  <c r="AC42" i="130"/>
  <c r="AB42" i="130"/>
  <c r="AD41" i="130"/>
  <c r="AC41" i="130"/>
  <c r="AB41" i="130"/>
  <c r="AD39" i="130"/>
  <c r="AC39" i="130"/>
  <c r="AB39" i="130"/>
  <c r="AD38" i="130"/>
  <c r="AC38" i="130"/>
  <c r="AB38" i="130"/>
  <c r="AD37" i="130"/>
  <c r="AC37" i="130"/>
  <c r="AB37" i="130"/>
  <c r="AD36" i="130"/>
  <c r="AC36" i="130"/>
  <c r="AB36" i="130"/>
  <c r="BU33" i="130"/>
  <c r="AD33" i="130"/>
  <c r="BX33" i="130"/>
  <c r="AC33" i="130" s="1"/>
  <c r="BP33" i="130"/>
  <c r="AB33" i="130" s="1"/>
  <c r="AD32" i="130"/>
  <c r="AC32" i="130"/>
  <c r="AB32" i="130"/>
  <c r="AD31" i="130"/>
  <c r="AB31" i="130"/>
  <c r="BU30" i="130"/>
  <c r="AD30" i="130" s="1"/>
  <c r="BX30" i="130"/>
  <c r="AC30" i="130" s="1"/>
  <c r="BP30" i="130"/>
  <c r="AB30" i="130" s="1"/>
  <c r="AD29" i="130"/>
  <c r="AC29" i="130"/>
  <c r="AB29" i="130"/>
  <c r="AD28" i="130"/>
  <c r="AC28" i="130"/>
  <c r="AB28" i="130"/>
  <c r="AD26" i="130"/>
  <c r="AB26" i="130"/>
  <c r="AD25" i="130"/>
  <c r="AC25" i="130"/>
  <c r="AB25" i="130"/>
  <c r="AD24" i="130"/>
  <c r="AC24" i="130"/>
  <c r="AB24" i="130"/>
  <c r="AD23" i="130"/>
  <c r="AC23" i="130"/>
  <c r="AB23" i="130"/>
  <c r="AD17" i="130"/>
  <c r="AC17" i="130"/>
  <c r="AB17" i="130"/>
  <c r="AD118" i="130"/>
  <c r="AC118" i="130"/>
  <c r="AB118" i="130"/>
  <c r="AD16" i="130"/>
  <c r="AC16" i="130"/>
  <c r="AB16" i="130"/>
  <c r="BU14" i="130"/>
  <c r="AD14" i="130"/>
  <c r="BX14" i="130"/>
  <c r="AC14" i="130" s="1"/>
  <c r="BP14" i="130"/>
  <c r="AB14" i="130" s="1"/>
  <c r="AD13" i="130"/>
  <c r="AC13" i="130"/>
  <c r="AB13" i="130"/>
  <c r="AD9" i="130"/>
  <c r="AC9" i="130"/>
  <c r="AB9" i="130"/>
  <c r="AD12" i="130"/>
  <c r="AC12" i="130"/>
  <c r="AB12" i="130"/>
  <c r="AD8" i="130"/>
  <c r="AC8" i="130"/>
  <c r="AB8" i="130"/>
  <c r="AD11" i="130"/>
  <c r="AC11" i="130"/>
  <c r="AB11" i="130"/>
  <c r="AD10" i="130"/>
  <c r="AC10" i="130"/>
  <c r="AB10" i="130"/>
  <c r="AD7" i="130"/>
  <c r="AC7" i="130"/>
  <c r="AB7" i="130"/>
  <c r="AA69" i="130"/>
  <c r="AA71" i="130" s="1"/>
  <c r="AA51" i="130"/>
  <c r="AA23" i="130"/>
  <c r="AA30" i="130" s="1"/>
  <c r="AA16" i="130"/>
  <c r="AA17" i="130" s="1"/>
  <c r="AA13" i="130"/>
  <c r="AA7" i="130"/>
  <c r="AA14" i="130"/>
  <c r="AA107" i="130"/>
  <c r="AA106" i="130"/>
  <c r="AA105" i="130"/>
  <c r="AA104" i="130"/>
  <c r="AA103" i="130"/>
  <c r="AA102" i="130"/>
  <c r="AA101" i="130"/>
  <c r="AA85" i="130"/>
  <c r="AA84" i="130"/>
  <c r="AA83" i="130"/>
  <c r="BQ82" i="130"/>
  <c r="BO82" i="130"/>
  <c r="AA81" i="130"/>
  <c r="AA80" i="130"/>
  <c r="AA78" i="130"/>
  <c r="AA77" i="130"/>
  <c r="AA76" i="130"/>
  <c r="AA75" i="130"/>
  <c r="AA74" i="130"/>
  <c r="AA73" i="130"/>
  <c r="AA61" i="130"/>
  <c r="AA60" i="130"/>
  <c r="AA63" i="130"/>
  <c r="AA62" i="130"/>
  <c r="AA59" i="130"/>
  <c r="AA58" i="130"/>
  <c r="AA57" i="130"/>
  <c r="AA56" i="130"/>
  <c r="AA48" i="130"/>
  <c r="AA41" i="130"/>
  <c r="AA37" i="130"/>
  <c r="AA36" i="130"/>
  <c r="AA29" i="130"/>
  <c r="AA28" i="130"/>
  <c r="AA26" i="130"/>
  <c r="AA25" i="130"/>
  <c r="AA24" i="130"/>
  <c r="AA118" i="130"/>
  <c r="AA9" i="130"/>
  <c r="AA12" i="130"/>
  <c r="AA8" i="130"/>
  <c r="AA11" i="130"/>
  <c r="AA10" i="130"/>
  <c r="Z107" i="130"/>
  <c r="Z106" i="130"/>
  <c r="Z105" i="130"/>
  <c r="Z104" i="130"/>
  <c r="Z103" i="130"/>
  <c r="Z102" i="130"/>
  <c r="Z101" i="130"/>
  <c r="Z98" i="130"/>
  <c r="Z99" i="130"/>
  <c r="Z96" i="130"/>
  <c r="Z95" i="130"/>
  <c r="Z97" i="130"/>
  <c r="Z85" i="130"/>
  <c r="Z84" i="130"/>
  <c r="Z83" i="130"/>
  <c r="BM82" i="130"/>
  <c r="Z82" i="130"/>
  <c r="Z81" i="130"/>
  <c r="Z80" i="130"/>
  <c r="Z78" i="130"/>
  <c r="Z77" i="130"/>
  <c r="Z76" i="130"/>
  <c r="Z75" i="130"/>
  <c r="Z74" i="130"/>
  <c r="Z73" i="130"/>
  <c r="BM71" i="130"/>
  <c r="Z71" i="130"/>
  <c r="Z70" i="130"/>
  <c r="Z69" i="130"/>
  <c r="Z61" i="130"/>
  <c r="Z60" i="130"/>
  <c r="Z63" i="130"/>
  <c r="Z62" i="130"/>
  <c r="Z59" i="130"/>
  <c r="Z58" i="130"/>
  <c r="Z57" i="130"/>
  <c r="Z56" i="130"/>
  <c r="Z50" i="130"/>
  <c r="Z49" i="130"/>
  <c r="Z48" i="130"/>
  <c r="Z47" i="130"/>
  <c r="Z46" i="130"/>
  <c r="Z45" i="130"/>
  <c r="Z44" i="130"/>
  <c r="Z43" i="130"/>
  <c r="Z42" i="130"/>
  <c r="Z41" i="130"/>
  <c r="Z39" i="130"/>
  <c r="Z38" i="130"/>
  <c r="Z37" i="130"/>
  <c r="Z36" i="130"/>
  <c r="BM33" i="130"/>
  <c r="Z33" i="130"/>
  <c r="Z32" i="130"/>
  <c r="Z31" i="130"/>
  <c r="BM30" i="130"/>
  <c r="Z30" i="130"/>
  <c r="Z29" i="130"/>
  <c r="Z28" i="130"/>
  <c r="Z25" i="130"/>
  <c r="Z24" i="130"/>
  <c r="Z23" i="130"/>
  <c r="Z17" i="130"/>
  <c r="Z118" i="130"/>
  <c r="Z16" i="130"/>
  <c r="BM14" i="130"/>
  <c r="Z14" i="130"/>
  <c r="Z13" i="130"/>
  <c r="Z9" i="130"/>
  <c r="Z12" i="130"/>
  <c r="Z8" i="130"/>
  <c r="Z11" i="130"/>
  <c r="Z10" i="130"/>
  <c r="Z7" i="130"/>
  <c r="Y69" i="130"/>
  <c r="Y54" i="130"/>
  <c r="Y23" i="130"/>
  <c r="Y32" i="130"/>
  <c r="Y31" i="130"/>
  <c r="Y33" i="130"/>
  <c r="Y30" i="130"/>
  <c r="Y16" i="130"/>
  <c r="Y17" i="130"/>
  <c r="Y13" i="130"/>
  <c r="Y14" i="130" s="1"/>
  <c r="Y7" i="130"/>
  <c r="Y107" i="130"/>
  <c r="Y106" i="130"/>
  <c r="Y105" i="130"/>
  <c r="Y104" i="130"/>
  <c r="Y103" i="130"/>
  <c r="Y102" i="130"/>
  <c r="Y101" i="130"/>
  <c r="Y85" i="130"/>
  <c r="Y84" i="130"/>
  <c r="Y83" i="130"/>
  <c r="BN82" i="130"/>
  <c r="BK82" i="130"/>
  <c r="BL82" i="130"/>
  <c r="Y82" i="130"/>
  <c r="Y81" i="130"/>
  <c r="Y80" i="130"/>
  <c r="Y78" i="130"/>
  <c r="Y77" i="130"/>
  <c r="Y76" i="130"/>
  <c r="Y75" i="130"/>
  <c r="Y74" i="130"/>
  <c r="Y73" i="130"/>
  <c r="Y61" i="130"/>
  <c r="Y60" i="130"/>
  <c r="Y63" i="130"/>
  <c r="Y62" i="130"/>
  <c r="Y59" i="130"/>
  <c r="Y58" i="130"/>
  <c r="Y57" i="130"/>
  <c r="Y56" i="130"/>
  <c r="Y48" i="130"/>
  <c r="Y41" i="130"/>
  <c r="Y37" i="130"/>
  <c r="Y36" i="130"/>
  <c r="Y29" i="130"/>
  <c r="Y28" i="130"/>
  <c r="Y26" i="130"/>
  <c r="Y25" i="130"/>
  <c r="Y24" i="130"/>
  <c r="Y118" i="130"/>
  <c r="Y9" i="130"/>
  <c r="Y12" i="130"/>
  <c r="Y8" i="130"/>
  <c r="Y11" i="130"/>
  <c r="Y10" i="130"/>
  <c r="X69" i="130"/>
  <c r="X70" i="130"/>
  <c r="X71" i="130"/>
  <c r="X54" i="130"/>
  <c r="X51" i="130"/>
  <c r="X45" i="130"/>
  <c r="X47" i="130"/>
  <c r="X23" i="130"/>
  <c r="X30" i="130"/>
  <c r="X16" i="130"/>
  <c r="X17" i="130" s="1"/>
  <c r="X13" i="130"/>
  <c r="X7" i="130"/>
  <c r="X14" i="130"/>
  <c r="X107" i="130"/>
  <c r="X106" i="130"/>
  <c r="X105" i="130"/>
  <c r="X104" i="130"/>
  <c r="X103" i="130"/>
  <c r="X102" i="130"/>
  <c r="X101" i="130"/>
  <c r="X85" i="130"/>
  <c r="X84" i="130"/>
  <c r="X83" i="130"/>
  <c r="BI82" i="130"/>
  <c r="X82" i="130" s="1"/>
  <c r="X81" i="130"/>
  <c r="X80" i="130"/>
  <c r="X78" i="130"/>
  <c r="X77" i="130"/>
  <c r="X76" i="130"/>
  <c r="X75" i="130"/>
  <c r="X74" i="130"/>
  <c r="X73" i="130"/>
  <c r="X61" i="130"/>
  <c r="X60" i="130"/>
  <c r="X63" i="130"/>
  <c r="X62" i="130"/>
  <c r="X59" i="130"/>
  <c r="X58" i="130"/>
  <c r="X57" i="130"/>
  <c r="X56" i="130"/>
  <c r="X48" i="130"/>
  <c r="X41" i="130"/>
  <c r="X38" i="130"/>
  <c r="X37" i="130"/>
  <c r="X36" i="130"/>
  <c r="X29" i="130"/>
  <c r="X28" i="130"/>
  <c r="X26" i="130"/>
  <c r="X25" i="130"/>
  <c r="X24" i="130"/>
  <c r="X118" i="130"/>
  <c r="X9" i="130"/>
  <c r="X12" i="130"/>
  <c r="X8" i="130"/>
  <c r="X11" i="130"/>
  <c r="X10" i="130"/>
  <c r="W107" i="130"/>
  <c r="W106" i="130"/>
  <c r="W105" i="130"/>
  <c r="W104" i="130"/>
  <c r="W103" i="130"/>
  <c r="W102" i="130"/>
  <c r="W101" i="130"/>
  <c r="W98" i="130"/>
  <c r="W99" i="130"/>
  <c r="W96" i="130"/>
  <c r="W95" i="130"/>
  <c r="W97" i="130"/>
  <c r="W85" i="130"/>
  <c r="W84" i="130"/>
  <c r="W83" i="130"/>
  <c r="BR82" i="130"/>
  <c r="W82" i="130" s="1"/>
  <c r="W81" i="130"/>
  <c r="W80" i="130"/>
  <c r="W78" i="130"/>
  <c r="W77" i="130"/>
  <c r="W76" i="130"/>
  <c r="W75" i="130"/>
  <c r="W74" i="130"/>
  <c r="W73" i="130"/>
  <c r="BR71" i="130"/>
  <c r="W71" i="130" s="1"/>
  <c r="W70" i="130"/>
  <c r="W69" i="130"/>
  <c r="W61" i="130"/>
  <c r="W60" i="130"/>
  <c r="W63" i="130"/>
  <c r="W62" i="130"/>
  <c r="W59" i="130"/>
  <c r="W58" i="130"/>
  <c r="W57" i="130"/>
  <c r="W56" i="130"/>
  <c r="W54" i="130"/>
  <c r="W53" i="130"/>
  <c r="W51" i="130"/>
  <c r="W50" i="130"/>
  <c r="W49" i="130"/>
  <c r="W48" i="130"/>
  <c r="W47" i="130"/>
  <c r="W46" i="130"/>
  <c r="W45" i="130"/>
  <c r="W44" i="130"/>
  <c r="W43" i="130"/>
  <c r="W42" i="130"/>
  <c r="W41" i="130"/>
  <c r="W39" i="130"/>
  <c r="W38" i="130"/>
  <c r="W37" i="130"/>
  <c r="W36" i="130"/>
  <c r="BR33" i="130"/>
  <c r="W33" i="130" s="1"/>
  <c r="W32" i="130"/>
  <c r="W31" i="130"/>
  <c r="BR30" i="130"/>
  <c r="W30" i="130"/>
  <c r="W29" i="130"/>
  <c r="W28" i="130"/>
  <c r="W26" i="130"/>
  <c r="W25" i="130"/>
  <c r="W24" i="130"/>
  <c r="W23" i="130"/>
  <c r="W17" i="130"/>
  <c r="W118" i="130"/>
  <c r="W16" i="130"/>
  <c r="BR14" i="130"/>
  <c r="W14" i="130" s="1"/>
  <c r="W13" i="130"/>
  <c r="W9" i="130"/>
  <c r="W12" i="130"/>
  <c r="W8" i="130"/>
  <c r="W11" i="130"/>
  <c r="W10" i="130"/>
  <c r="W7" i="130"/>
  <c r="P85" i="130"/>
  <c r="P84" i="130"/>
  <c r="P83" i="130"/>
  <c r="V69" i="130"/>
  <c r="V70" i="130"/>
  <c r="V71" i="130" s="1"/>
  <c r="V54" i="130"/>
  <c r="V53" i="130"/>
  <c r="V51" i="130"/>
  <c r="V23" i="130"/>
  <c r="V16" i="130"/>
  <c r="V17" i="130" s="1"/>
  <c r="V13" i="130"/>
  <c r="V14" i="130" s="1"/>
  <c r="V7" i="130"/>
  <c r="V107" i="130"/>
  <c r="V106" i="130"/>
  <c r="V105" i="130"/>
  <c r="V104" i="130"/>
  <c r="V103" i="130"/>
  <c r="V102" i="130"/>
  <c r="V101" i="130"/>
  <c r="V85" i="130"/>
  <c r="V84" i="130"/>
  <c r="V83" i="130"/>
  <c r="BG82" i="130"/>
  <c r="V82" i="130" s="1"/>
  <c r="V81" i="130"/>
  <c r="V80" i="130"/>
  <c r="V78" i="130"/>
  <c r="V77" i="130"/>
  <c r="V76" i="130"/>
  <c r="V75" i="130"/>
  <c r="V74" i="130"/>
  <c r="V73" i="130"/>
  <c r="V61" i="130"/>
  <c r="V60" i="130"/>
  <c r="V63" i="130"/>
  <c r="V62" i="130"/>
  <c r="V59" i="130"/>
  <c r="V58" i="130"/>
  <c r="V57" i="130"/>
  <c r="V56" i="130"/>
  <c r="V49" i="130"/>
  <c r="V48" i="130"/>
  <c r="V43" i="130"/>
  <c r="V41" i="130"/>
  <c r="V39" i="130"/>
  <c r="V38" i="130"/>
  <c r="V37" i="130"/>
  <c r="V36" i="130"/>
  <c r="V29" i="130"/>
  <c r="V28" i="130"/>
  <c r="V26" i="130"/>
  <c r="V25" i="130"/>
  <c r="V24" i="130"/>
  <c r="V118" i="130"/>
  <c r="V9" i="130"/>
  <c r="V12" i="130"/>
  <c r="V8" i="130"/>
  <c r="V11" i="130"/>
  <c r="V10" i="130"/>
  <c r="U107" i="130"/>
  <c r="T107" i="130"/>
  <c r="S107" i="130"/>
  <c r="U106" i="130"/>
  <c r="T106" i="130"/>
  <c r="S106" i="130"/>
  <c r="U105" i="130"/>
  <c r="T105" i="130"/>
  <c r="S105" i="130"/>
  <c r="U104" i="130"/>
  <c r="T104" i="130"/>
  <c r="S104" i="130"/>
  <c r="U103" i="130"/>
  <c r="T103" i="130"/>
  <c r="S103" i="130"/>
  <c r="U102" i="130"/>
  <c r="T102" i="130"/>
  <c r="S102" i="130"/>
  <c r="U101" i="130"/>
  <c r="T101" i="130"/>
  <c r="S101" i="130"/>
  <c r="U98" i="130"/>
  <c r="T98" i="130"/>
  <c r="S98" i="130"/>
  <c r="U99" i="130"/>
  <c r="T99" i="130"/>
  <c r="S99" i="130"/>
  <c r="U96" i="130"/>
  <c r="T96" i="130"/>
  <c r="S96" i="130"/>
  <c r="U95" i="130"/>
  <c r="T95" i="130"/>
  <c r="S95" i="130"/>
  <c r="U97" i="130"/>
  <c r="T97" i="130"/>
  <c r="S97" i="130"/>
  <c r="U85" i="130"/>
  <c r="T85" i="130"/>
  <c r="S85" i="130"/>
  <c r="U84" i="130"/>
  <c r="T84" i="130"/>
  <c r="S84" i="130"/>
  <c r="U83" i="130"/>
  <c r="T83" i="130"/>
  <c r="S83" i="130"/>
  <c r="BC82" i="130"/>
  <c r="U82" i="130" s="1"/>
  <c r="BB82" i="130"/>
  <c r="T82" i="130"/>
  <c r="AV82" i="130"/>
  <c r="S82" i="130"/>
  <c r="U81" i="130"/>
  <c r="T81" i="130"/>
  <c r="S81" i="130"/>
  <c r="U80" i="130"/>
  <c r="T80" i="130"/>
  <c r="S80" i="130"/>
  <c r="U78" i="130"/>
  <c r="T78" i="130"/>
  <c r="S78" i="130"/>
  <c r="U77" i="130"/>
  <c r="T77" i="130"/>
  <c r="S77" i="130"/>
  <c r="U76" i="130"/>
  <c r="T76" i="130"/>
  <c r="S76" i="130"/>
  <c r="U75" i="130"/>
  <c r="T75" i="130"/>
  <c r="S75" i="130"/>
  <c r="U74" i="130"/>
  <c r="T74" i="130"/>
  <c r="S74" i="130"/>
  <c r="U73" i="130"/>
  <c r="T73" i="130"/>
  <c r="S73" i="130"/>
  <c r="BC71" i="130"/>
  <c r="U71" i="130" s="1"/>
  <c r="BB71" i="130"/>
  <c r="T71" i="130"/>
  <c r="AV71" i="130"/>
  <c r="S71" i="130"/>
  <c r="U70" i="130"/>
  <c r="T70" i="130"/>
  <c r="S70" i="130"/>
  <c r="U69" i="130"/>
  <c r="T69" i="130"/>
  <c r="S69" i="130"/>
  <c r="U61" i="130"/>
  <c r="T61" i="130"/>
  <c r="S61" i="130"/>
  <c r="U60" i="130"/>
  <c r="T60" i="130"/>
  <c r="S60" i="130"/>
  <c r="U63" i="130"/>
  <c r="T63" i="130"/>
  <c r="S63" i="130"/>
  <c r="U62" i="130"/>
  <c r="T62" i="130"/>
  <c r="S62" i="130"/>
  <c r="U59" i="130"/>
  <c r="T59" i="130"/>
  <c r="S59" i="130"/>
  <c r="U58" i="130"/>
  <c r="T58" i="130"/>
  <c r="S58" i="130"/>
  <c r="U57" i="130"/>
  <c r="T57" i="130"/>
  <c r="S57" i="130"/>
  <c r="U56" i="130"/>
  <c r="T56" i="130"/>
  <c r="S56" i="130"/>
  <c r="U54" i="130"/>
  <c r="T54" i="130"/>
  <c r="S54" i="130"/>
  <c r="T53" i="130"/>
  <c r="S53" i="130"/>
  <c r="U51" i="130"/>
  <c r="T51" i="130"/>
  <c r="S51" i="130"/>
  <c r="U50" i="130"/>
  <c r="T50" i="130"/>
  <c r="S50" i="130"/>
  <c r="U49" i="130"/>
  <c r="T49" i="130"/>
  <c r="S49" i="130"/>
  <c r="U48" i="130"/>
  <c r="T48" i="130"/>
  <c r="S48" i="130"/>
  <c r="U47" i="130"/>
  <c r="T47" i="130"/>
  <c r="S47" i="130"/>
  <c r="U46" i="130"/>
  <c r="T46" i="130"/>
  <c r="S46" i="130"/>
  <c r="U45" i="130"/>
  <c r="T45" i="130"/>
  <c r="S45" i="130"/>
  <c r="U44" i="130"/>
  <c r="T44" i="130"/>
  <c r="S44" i="130"/>
  <c r="U43" i="130"/>
  <c r="T43" i="130"/>
  <c r="S43" i="130"/>
  <c r="U42" i="130"/>
  <c r="T42" i="130"/>
  <c r="S42" i="130"/>
  <c r="U41" i="130"/>
  <c r="T41" i="130"/>
  <c r="S41" i="130"/>
  <c r="U39" i="130"/>
  <c r="T39" i="130"/>
  <c r="S39" i="130"/>
  <c r="U38" i="130"/>
  <c r="T38" i="130"/>
  <c r="S38" i="130"/>
  <c r="U37" i="130"/>
  <c r="T37" i="130"/>
  <c r="S37" i="130"/>
  <c r="U36" i="130"/>
  <c r="T36" i="130"/>
  <c r="S36" i="130"/>
  <c r="BC33" i="130"/>
  <c r="U33" i="130"/>
  <c r="BB33" i="130"/>
  <c r="T33" i="130"/>
  <c r="AV33" i="130"/>
  <c r="S33" i="130" s="1"/>
  <c r="U32" i="130"/>
  <c r="T32" i="130"/>
  <c r="S32" i="130"/>
  <c r="U31" i="130"/>
  <c r="S31" i="130"/>
  <c r="BC30" i="130"/>
  <c r="U30" i="130"/>
  <c r="BB30" i="130"/>
  <c r="T30" i="130" s="1"/>
  <c r="AV30" i="130"/>
  <c r="S30" i="130" s="1"/>
  <c r="U29" i="130"/>
  <c r="T29" i="130"/>
  <c r="S29" i="130"/>
  <c r="U28" i="130"/>
  <c r="T28" i="130"/>
  <c r="S28" i="130"/>
  <c r="U26" i="130"/>
  <c r="T26" i="130"/>
  <c r="S26" i="130"/>
  <c r="U25" i="130"/>
  <c r="T25" i="130"/>
  <c r="S25" i="130"/>
  <c r="U24" i="130"/>
  <c r="T24" i="130"/>
  <c r="S24" i="130"/>
  <c r="U23" i="130"/>
  <c r="T23" i="130"/>
  <c r="S23" i="130"/>
  <c r="U17" i="130"/>
  <c r="T17" i="130"/>
  <c r="S17" i="130"/>
  <c r="U118" i="130"/>
  <c r="T118" i="130"/>
  <c r="S118" i="130"/>
  <c r="U16" i="130"/>
  <c r="T16" i="130"/>
  <c r="S16" i="130"/>
  <c r="BC14" i="130"/>
  <c r="U14" i="130"/>
  <c r="BB14" i="130"/>
  <c r="T14" i="130"/>
  <c r="AV14" i="130"/>
  <c r="S14" i="130" s="1"/>
  <c r="U13" i="130"/>
  <c r="T13" i="130"/>
  <c r="S13" i="130"/>
  <c r="U9" i="130"/>
  <c r="T9" i="130"/>
  <c r="S9" i="130"/>
  <c r="U12" i="130"/>
  <c r="T12" i="130"/>
  <c r="S12" i="130"/>
  <c r="U8" i="130"/>
  <c r="T8" i="130"/>
  <c r="S8" i="130"/>
  <c r="U11" i="130"/>
  <c r="T11" i="130"/>
  <c r="S11" i="130"/>
  <c r="U10" i="130"/>
  <c r="T10" i="130"/>
  <c r="S10" i="130"/>
  <c r="U7" i="130"/>
  <c r="T7" i="130"/>
  <c r="S7" i="130"/>
  <c r="R71" i="130"/>
  <c r="R54" i="130"/>
  <c r="R51" i="130"/>
  <c r="R30" i="130"/>
  <c r="R14" i="130"/>
  <c r="Q107" i="130"/>
  <c r="Q106" i="130"/>
  <c r="Q105" i="130"/>
  <c r="Q104" i="130"/>
  <c r="Q103" i="130"/>
  <c r="Q102" i="130"/>
  <c r="Q101" i="130"/>
  <c r="Q98" i="130"/>
  <c r="Q99" i="130"/>
  <c r="Q96" i="130"/>
  <c r="Q95" i="130"/>
  <c r="Q97" i="130"/>
  <c r="Q85" i="130"/>
  <c r="Q84" i="130"/>
  <c r="Q83" i="130"/>
  <c r="AU82" i="130"/>
  <c r="Q82" i="130" s="1"/>
  <c r="Q81" i="130"/>
  <c r="Q80" i="130"/>
  <c r="Q78" i="130"/>
  <c r="Q77" i="130"/>
  <c r="Q76" i="130"/>
  <c r="Q75" i="130"/>
  <c r="Q74" i="130"/>
  <c r="Q73" i="130"/>
  <c r="AU71" i="130"/>
  <c r="Q71" i="130" s="1"/>
  <c r="Q70" i="130"/>
  <c r="Q69" i="130"/>
  <c r="Q61" i="130"/>
  <c r="Q60" i="130"/>
  <c r="Q63" i="130"/>
  <c r="Q62" i="130"/>
  <c r="Q59" i="130"/>
  <c r="Q58" i="130"/>
  <c r="Q57" i="130"/>
  <c r="Q56" i="130"/>
  <c r="Q54" i="130"/>
  <c r="Q53" i="130"/>
  <c r="Q51" i="130"/>
  <c r="Q50" i="130"/>
  <c r="Q49" i="130"/>
  <c r="Q48" i="130"/>
  <c r="Q47" i="130"/>
  <c r="Q46" i="130"/>
  <c r="Q45" i="130"/>
  <c r="Q44" i="130"/>
  <c r="Q43" i="130"/>
  <c r="Q42" i="130"/>
  <c r="Q41" i="130"/>
  <c r="Q39" i="130"/>
  <c r="Q38" i="130"/>
  <c r="Q37" i="130"/>
  <c r="Q36" i="130"/>
  <c r="AU33" i="130"/>
  <c r="Q33" i="130" s="1"/>
  <c r="Q32" i="130"/>
  <c r="Q31" i="130"/>
  <c r="AU30" i="130"/>
  <c r="Q30" i="130"/>
  <c r="Q29" i="130"/>
  <c r="Q28" i="130"/>
  <c r="Q26" i="130"/>
  <c r="Q25" i="130"/>
  <c r="Q24" i="130"/>
  <c r="Q23" i="130"/>
  <c r="Q22" i="130"/>
  <c r="Q17" i="130"/>
  <c r="Q118" i="130"/>
  <c r="Q16" i="130"/>
  <c r="AU14" i="130"/>
  <c r="Q14" i="130" s="1"/>
  <c r="Q13" i="130"/>
  <c r="Q9" i="130"/>
  <c r="Q12" i="130"/>
  <c r="Q8" i="130"/>
  <c r="Q11" i="130"/>
  <c r="Q10" i="130"/>
  <c r="Q7" i="130"/>
  <c r="P81" i="130"/>
  <c r="P82" i="130" s="1"/>
  <c r="P80" i="130"/>
  <c r="P69" i="130"/>
  <c r="P71" i="130" s="1"/>
  <c r="P70" i="130"/>
  <c r="P54" i="130"/>
  <c r="P53" i="130"/>
  <c r="P51" i="130"/>
  <c r="P23" i="130"/>
  <c r="P31" i="130" s="1"/>
  <c r="P32" i="130"/>
  <c r="P33" i="130" s="1"/>
  <c r="P30" i="130"/>
  <c r="P16" i="130"/>
  <c r="P17" i="130"/>
  <c r="P13" i="130"/>
  <c r="P7" i="130"/>
  <c r="P14" i="130"/>
  <c r="P107" i="130"/>
  <c r="P106" i="130"/>
  <c r="P105" i="130"/>
  <c r="P104" i="130"/>
  <c r="P103" i="130"/>
  <c r="P102" i="130"/>
  <c r="P101" i="130"/>
  <c r="AZ82" i="130"/>
  <c r="BA82" i="130"/>
  <c r="P78" i="130"/>
  <c r="P77" i="130"/>
  <c r="P76" i="130"/>
  <c r="P75" i="130"/>
  <c r="P74" i="130"/>
  <c r="P73" i="130"/>
  <c r="AZ71" i="130"/>
  <c r="BA71" i="130"/>
  <c r="P39" i="130"/>
  <c r="P38" i="130"/>
  <c r="P37" i="130"/>
  <c r="P36" i="130"/>
  <c r="AZ33" i="130"/>
  <c r="BA33" i="130"/>
  <c r="AZ30" i="130"/>
  <c r="BA30" i="130"/>
  <c r="P29" i="130"/>
  <c r="P28" i="130"/>
  <c r="P26" i="130"/>
  <c r="P25" i="130"/>
  <c r="P24" i="130"/>
  <c r="P118" i="130"/>
  <c r="AZ14" i="130"/>
  <c r="BA14" i="130"/>
  <c r="P9" i="130"/>
  <c r="P12" i="130"/>
  <c r="P8" i="130"/>
  <c r="P11" i="130"/>
  <c r="P10" i="130"/>
  <c r="O107" i="130"/>
  <c r="O106" i="130"/>
  <c r="O105" i="130"/>
  <c r="O104" i="130"/>
  <c r="O103" i="130"/>
  <c r="O102" i="130"/>
  <c r="O101" i="130"/>
  <c r="O98" i="130"/>
  <c r="O99" i="130"/>
  <c r="O96" i="130"/>
  <c r="O95" i="130"/>
  <c r="O97" i="130"/>
  <c r="O85" i="130"/>
  <c r="O84" i="130"/>
  <c r="O83" i="130"/>
  <c r="BE82" i="130"/>
  <c r="O82" i="130"/>
  <c r="O81" i="130"/>
  <c r="O80" i="130"/>
  <c r="O78" i="130"/>
  <c r="O77" i="130"/>
  <c r="O76" i="130"/>
  <c r="O75" i="130"/>
  <c r="O74" i="130"/>
  <c r="O73" i="130"/>
  <c r="BE71" i="130"/>
  <c r="O71" i="130"/>
  <c r="O70" i="130"/>
  <c r="O69" i="130"/>
  <c r="O61" i="130"/>
  <c r="O60" i="130"/>
  <c r="O63" i="130"/>
  <c r="O62" i="130"/>
  <c r="O59" i="130"/>
  <c r="O58" i="130"/>
  <c r="O57" i="130"/>
  <c r="O56" i="130"/>
  <c r="O54" i="130"/>
  <c r="O53" i="130"/>
  <c r="O51" i="130"/>
  <c r="O50" i="130"/>
  <c r="O49" i="130"/>
  <c r="O48" i="130"/>
  <c r="O47" i="130"/>
  <c r="O46" i="130"/>
  <c r="O45" i="130"/>
  <c r="O44" i="130"/>
  <c r="O43" i="130"/>
  <c r="O42" i="130"/>
  <c r="O41" i="130"/>
  <c r="O39" i="130"/>
  <c r="O38" i="130"/>
  <c r="O37" i="130"/>
  <c r="O36" i="130"/>
  <c r="BE33" i="130"/>
  <c r="O33" i="130" s="1"/>
  <c r="O32" i="130"/>
  <c r="BE30" i="130"/>
  <c r="O30" i="130" s="1"/>
  <c r="O29" i="130"/>
  <c r="O28" i="130"/>
  <c r="O26" i="130"/>
  <c r="O25" i="130"/>
  <c r="O24" i="130"/>
  <c r="O23" i="130"/>
  <c r="O17" i="130"/>
  <c r="O118" i="130"/>
  <c r="O16" i="130"/>
  <c r="BE14" i="130"/>
  <c r="O14" i="130" s="1"/>
  <c r="O13" i="130"/>
  <c r="N107" i="130"/>
  <c r="N106" i="130"/>
  <c r="N105" i="130"/>
  <c r="N104" i="130"/>
  <c r="N103" i="130"/>
  <c r="N102" i="130"/>
  <c r="N101" i="130"/>
  <c r="N98" i="130"/>
  <c r="N99" i="130"/>
  <c r="N96" i="130"/>
  <c r="N95" i="130"/>
  <c r="N97" i="130"/>
  <c r="N85" i="130"/>
  <c r="N84" i="130"/>
  <c r="N83" i="130"/>
  <c r="AW82" i="130"/>
  <c r="N82" i="130"/>
  <c r="N81" i="130"/>
  <c r="N80" i="130"/>
  <c r="N78" i="130"/>
  <c r="N77" i="130"/>
  <c r="N76" i="130"/>
  <c r="N75" i="130"/>
  <c r="N74" i="130"/>
  <c r="N73" i="130"/>
  <c r="AW71" i="130"/>
  <c r="N71" i="130"/>
  <c r="N70" i="130"/>
  <c r="N69" i="130"/>
  <c r="N61" i="130"/>
  <c r="N60" i="130"/>
  <c r="N63" i="130"/>
  <c r="N62" i="130"/>
  <c r="N59" i="130"/>
  <c r="N58" i="130"/>
  <c r="N57" i="130"/>
  <c r="N56" i="130"/>
  <c r="N54" i="130"/>
  <c r="N53" i="130"/>
  <c r="N51" i="130"/>
  <c r="N50" i="130"/>
  <c r="N49" i="130"/>
  <c r="N48" i="130"/>
  <c r="N47" i="130"/>
  <c r="N46" i="130"/>
  <c r="N45" i="130"/>
  <c r="N44" i="130"/>
  <c r="N43" i="130"/>
  <c r="N42" i="130"/>
  <c r="N41" i="130"/>
  <c r="N39" i="130"/>
  <c r="N38" i="130"/>
  <c r="N37" i="130"/>
  <c r="N36" i="130"/>
  <c r="AW33" i="130"/>
  <c r="N33" i="130" s="1"/>
  <c r="N32" i="130"/>
  <c r="N31" i="130"/>
  <c r="AW30" i="130"/>
  <c r="N30" i="130"/>
  <c r="N29" i="130"/>
  <c r="N28" i="130"/>
  <c r="N26" i="130"/>
  <c r="N25" i="130"/>
  <c r="N24" i="130"/>
  <c r="N23" i="130"/>
  <c r="N17" i="130"/>
  <c r="N118" i="130"/>
  <c r="N16" i="130"/>
  <c r="AW14" i="130"/>
  <c r="N14" i="130" s="1"/>
  <c r="N13" i="130"/>
  <c r="M107" i="130"/>
  <c r="M106" i="130"/>
  <c r="M105" i="130"/>
  <c r="M104" i="130"/>
  <c r="M103" i="130"/>
  <c r="M102" i="130"/>
  <c r="M101" i="130"/>
  <c r="M98" i="130"/>
  <c r="M99" i="130"/>
  <c r="M96" i="130"/>
  <c r="M95" i="130"/>
  <c r="M97" i="130"/>
  <c r="M85" i="130"/>
  <c r="M84" i="130"/>
  <c r="M83" i="130"/>
  <c r="BD82" i="130"/>
  <c r="M82" i="130" s="1"/>
  <c r="M81" i="130"/>
  <c r="M80" i="130"/>
  <c r="M78" i="130"/>
  <c r="M77" i="130"/>
  <c r="M76" i="130"/>
  <c r="M75" i="130"/>
  <c r="M74" i="130"/>
  <c r="M73" i="130"/>
  <c r="BD71" i="130"/>
  <c r="M71" i="130" s="1"/>
  <c r="M70" i="130"/>
  <c r="M69" i="130"/>
  <c r="M61" i="130"/>
  <c r="M60" i="130"/>
  <c r="M63" i="130"/>
  <c r="M62" i="130"/>
  <c r="M59" i="130"/>
  <c r="M58" i="130"/>
  <c r="M57" i="130"/>
  <c r="M56" i="130"/>
  <c r="M54" i="130"/>
  <c r="M53" i="130"/>
  <c r="M51" i="130"/>
  <c r="M50" i="130"/>
  <c r="M49" i="130"/>
  <c r="M48" i="130"/>
  <c r="M47" i="130"/>
  <c r="M46" i="130"/>
  <c r="M45" i="130"/>
  <c r="M44" i="130"/>
  <c r="M43" i="130"/>
  <c r="M42" i="130"/>
  <c r="M41" i="130"/>
  <c r="M39" i="130"/>
  <c r="M38" i="130"/>
  <c r="M37" i="130"/>
  <c r="M36" i="130"/>
  <c r="BD33" i="130"/>
  <c r="M33" i="130" s="1"/>
  <c r="M32" i="130"/>
  <c r="M31" i="130"/>
  <c r="BD30" i="130"/>
  <c r="M30" i="130"/>
  <c r="M29" i="130"/>
  <c r="M28" i="130"/>
  <c r="M26" i="130"/>
  <c r="M25" i="130"/>
  <c r="M24" i="130"/>
  <c r="M23" i="130"/>
  <c r="M17" i="130"/>
  <c r="M118" i="130"/>
  <c r="M16" i="130"/>
  <c r="BD14" i="130"/>
  <c r="M14" i="130" s="1"/>
  <c r="M13" i="130"/>
  <c r="L107" i="130"/>
  <c r="L106" i="130"/>
  <c r="L105" i="130"/>
  <c r="L104" i="130"/>
  <c r="L103" i="130"/>
  <c r="L102" i="130"/>
  <c r="L101" i="130"/>
  <c r="L98" i="130"/>
  <c r="L99" i="130"/>
  <c r="L96" i="130"/>
  <c r="L95" i="130"/>
  <c r="L97" i="130"/>
  <c r="L85" i="130"/>
  <c r="L84" i="130"/>
  <c r="L83" i="130"/>
  <c r="AY82" i="130"/>
  <c r="L82" i="130" s="1"/>
  <c r="L81" i="130"/>
  <c r="L80" i="130"/>
  <c r="L78" i="130"/>
  <c r="L77" i="130"/>
  <c r="L76" i="130"/>
  <c r="L75" i="130"/>
  <c r="L74" i="130"/>
  <c r="L73" i="130"/>
  <c r="AY71" i="130"/>
  <c r="L71" i="130" s="1"/>
  <c r="L70" i="130"/>
  <c r="L69" i="130"/>
  <c r="L61" i="130"/>
  <c r="L60" i="130"/>
  <c r="L63" i="130"/>
  <c r="L62" i="130"/>
  <c r="L59" i="130"/>
  <c r="L58" i="130"/>
  <c r="L57" i="130"/>
  <c r="L56" i="130"/>
  <c r="L54" i="130"/>
  <c r="L53" i="130"/>
  <c r="L51" i="130"/>
  <c r="L50" i="130"/>
  <c r="L49" i="130"/>
  <c r="L48" i="130"/>
  <c r="L47" i="130"/>
  <c r="L46" i="130"/>
  <c r="L45" i="130"/>
  <c r="L44" i="130"/>
  <c r="L43" i="130"/>
  <c r="L42" i="130"/>
  <c r="L41" i="130"/>
  <c r="L39" i="130"/>
  <c r="L38" i="130"/>
  <c r="L37" i="130"/>
  <c r="L36" i="130"/>
  <c r="AY33" i="130"/>
  <c r="L33" i="130"/>
  <c r="L32" i="130"/>
  <c r="L31" i="130"/>
  <c r="AY30" i="130"/>
  <c r="L30" i="130"/>
  <c r="L29" i="130"/>
  <c r="L28" i="130"/>
  <c r="L26" i="130"/>
  <c r="L25" i="130"/>
  <c r="L24" i="130"/>
  <c r="L23" i="130"/>
  <c r="L17" i="130"/>
  <c r="L118" i="130"/>
  <c r="L16" i="130"/>
  <c r="AY14" i="130"/>
  <c r="L14" i="130"/>
  <c r="L13" i="130"/>
  <c r="K107" i="130"/>
  <c r="K106" i="130"/>
  <c r="K105" i="130"/>
  <c r="K104" i="130"/>
  <c r="K103" i="130"/>
  <c r="K102" i="130"/>
  <c r="K101" i="130"/>
  <c r="K98" i="130"/>
  <c r="K99" i="130"/>
  <c r="K96" i="130"/>
  <c r="K95" i="130"/>
  <c r="K97" i="130"/>
  <c r="K85" i="130"/>
  <c r="K84" i="130"/>
  <c r="K83" i="130"/>
  <c r="BF82" i="130"/>
  <c r="K82" i="130" s="1"/>
  <c r="K81" i="130"/>
  <c r="K80" i="130"/>
  <c r="K78" i="130"/>
  <c r="K77" i="130"/>
  <c r="K76" i="130"/>
  <c r="K75" i="130"/>
  <c r="K74" i="130"/>
  <c r="K73" i="130"/>
  <c r="BF71" i="130"/>
  <c r="K71" i="130" s="1"/>
  <c r="K70" i="130"/>
  <c r="K69" i="130"/>
  <c r="K61" i="130"/>
  <c r="K60" i="130"/>
  <c r="K63" i="130"/>
  <c r="K62" i="130"/>
  <c r="K59" i="130"/>
  <c r="K58" i="130"/>
  <c r="K57" i="130"/>
  <c r="K56" i="130"/>
  <c r="K54" i="130"/>
  <c r="K53" i="130"/>
  <c r="K51" i="130"/>
  <c r="K50" i="130"/>
  <c r="K49" i="130"/>
  <c r="K48" i="130"/>
  <c r="K47" i="130"/>
  <c r="K46" i="130"/>
  <c r="K45" i="130"/>
  <c r="K44" i="130"/>
  <c r="K43" i="130"/>
  <c r="K42" i="130"/>
  <c r="K41" i="130"/>
  <c r="K39" i="130"/>
  <c r="K38" i="130"/>
  <c r="K37" i="130"/>
  <c r="K36" i="130"/>
  <c r="BF33" i="130"/>
  <c r="K33" i="130"/>
  <c r="K32" i="130"/>
  <c r="K31" i="130"/>
  <c r="BF30" i="130"/>
  <c r="K30" i="130" s="1"/>
  <c r="K29" i="130"/>
  <c r="K28" i="130"/>
  <c r="K26" i="130"/>
  <c r="K25" i="130"/>
  <c r="K24" i="130"/>
  <c r="K23" i="130"/>
  <c r="K17" i="130"/>
  <c r="K118" i="130"/>
  <c r="K16" i="130"/>
  <c r="BF14" i="130"/>
  <c r="K14" i="130"/>
  <c r="K13" i="130"/>
  <c r="CL54" i="130"/>
  <c r="I54" i="130"/>
  <c r="H54" i="130"/>
  <c r="G54" i="130"/>
  <c r="F54" i="130"/>
  <c r="F82" i="130"/>
  <c r="G82" i="130"/>
  <c r="H82" i="130"/>
  <c r="I82" i="130"/>
  <c r="CL82" i="130"/>
  <c r="AX71" i="130"/>
  <c r="BG71" i="130"/>
  <c r="BJ71" i="130"/>
  <c r="BH71" i="130"/>
  <c r="BI71" i="130"/>
  <c r="BN71" i="130"/>
  <c r="BQ71" i="130"/>
  <c r="BS71" i="130"/>
  <c r="BT71" i="130"/>
  <c r="CG71" i="130"/>
  <c r="F71" i="130"/>
  <c r="G71" i="130"/>
  <c r="H71" i="130"/>
  <c r="I71" i="130"/>
  <c r="CL71" i="130"/>
  <c r="F52" i="130"/>
  <c r="G52" i="130"/>
  <c r="H52" i="130"/>
  <c r="I52" i="130"/>
  <c r="F51" i="130"/>
  <c r="G51" i="130"/>
  <c r="H51" i="130"/>
  <c r="I51" i="130"/>
  <c r="AX33" i="130"/>
  <c r="BG33" i="130"/>
  <c r="BJ33" i="130"/>
  <c r="BH33" i="130"/>
  <c r="BI33" i="130"/>
  <c r="BK33" i="130"/>
  <c r="BL33" i="130"/>
  <c r="BN33" i="130"/>
  <c r="BO33" i="130"/>
  <c r="BQ33" i="130"/>
  <c r="BS33" i="130"/>
  <c r="BT33" i="130"/>
  <c r="CF33" i="130"/>
  <c r="CG33" i="130"/>
  <c r="F33" i="130"/>
  <c r="G33" i="130"/>
  <c r="H33" i="130"/>
  <c r="I33" i="130"/>
  <c r="CL33" i="130"/>
  <c r="BG30" i="130"/>
  <c r="BJ30" i="130"/>
  <c r="BH30" i="130"/>
  <c r="BI30" i="130"/>
  <c r="BK30" i="130"/>
  <c r="BL30" i="130"/>
  <c r="BN30" i="130"/>
  <c r="BO30" i="130"/>
  <c r="BQ30" i="130"/>
  <c r="BS30" i="130"/>
  <c r="BT30" i="130"/>
  <c r="CF30" i="130"/>
  <c r="CG30" i="130"/>
  <c r="F30" i="130"/>
  <c r="G30" i="130"/>
  <c r="H30" i="130"/>
  <c r="I30" i="130"/>
  <c r="CL30" i="130"/>
  <c r="AX30" i="130"/>
  <c r="AX14" i="130"/>
  <c r="BG14" i="130"/>
  <c r="BJ14" i="130"/>
  <c r="BH14" i="130"/>
  <c r="BI14" i="130"/>
  <c r="BK14" i="130"/>
  <c r="BL14" i="130"/>
  <c r="BN14" i="130"/>
  <c r="BO14" i="130"/>
  <c r="BQ14" i="130"/>
  <c r="BS14" i="130"/>
  <c r="BT14" i="130"/>
  <c r="CF14" i="130"/>
  <c r="F14" i="130"/>
  <c r="G14" i="130"/>
  <c r="H14" i="130"/>
  <c r="I14" i="130"/>
  <c r="CL14" i="130"/>
  <c r="Q52" i="130"/>
  <c r="CC65" i="127"/>
  <c r="CD65" i="127"/>
  <c r="CE65" i="127"/>
  <c r="CF65" i="127"/>
  <c r="CG65" i="127"/>
  <c r="CH65" i="127"/>
  <c r="CI65" i="127"/>
  <c r="CJ65" i="127"/>
  <c r="CK65" i="127"/>
  <c r="BS65" i="127"/>
  <c r="BT65" i="127"/>
  <c r="BU65" i="127"/>
  <c r="BV65" i="127"/>
  <c r="BW65" i="127"/>
  <c r="BX65" i="127"/>
  <c r="BY65" i="127"/>
  <c r="BZ65" i="127"/>
  <c r="CA65" i="127"/>
  <c r="CB65" i="127"/>
  <c r="BG65" i="127"/>
  <c r="BH65" i="127"/>
  <c r="BI65" i="127"/>
  <c r="BJ65" i="127"/>
  <c r="BK65" i="127"/>
  <c r="BL65" i="127"/>
  <c r="BM65" i="127"/>
  <c r="BN65" i="127"/>
  <c r="BO65" i="127"/>
  <c r="BP65" i="127"/>
  <c r="BQ65" i="127"/>
  <c r="BR65" i="127"/>
  <c r="AT65" i="127"/>
  <c r="AU65" i="127"/>
  <c r="AV65" i="127"/>
  <c r="AW65" i="127"/>
  <c r="AX65" i="127"/>
  <c r="AY65" i="127"/>
  <c r="AZ65" i="127"/>
  <c r="BA65" i="127"/>
  <c r="BB65" i="127"/>
  <c r="BC65" i="127"/>
  <c r="BD65" i="127"/>
  <c r="BE65" i="127"/>
  <c r="BF65" i="127"/>
  <c r="AS19" i="127"/>
  <c r="AR19" i="127"/>
  <c r="AQ19" i="127"/>
  <c r="AP19" i="127"/>
  <c r="AO19" i="127"/>
  <c r="AN19" i="127"/>
  <c r="AM19" i="127"/>
  <c r="AL19" i="127"/>
  <c r="AK19" i="127"/>
  <c r="AJ19" i="127"/>
  <c r="AI19" i="127"/>
  <c r="AH19" i="127"/>
  <c r="AG19" i="127"/>
  <c r="AF19" i="127"/>
  <c r="AE19" i="127"/>
  <c r="AD19" i="127"/>
  <c r="AC19" i="127"/>
  <c r="AB19" i="127"/>
  <c r="AA19" i="127"/>
  <c r="Z19" i="127"/>
  <c r="Y19" i="127"/>
  <c r="X19" i="127"/>
  <c r="W19" i="127"/>
  <c r="V19" i="127"/>
  <c r="U19" i="127"/>
  <c r="T19" i="127"/>
  <c r="S19" i="127"/>
  <c r="R19" i="127"/>
  <c r="Q19" i="127"/>
  <c r="P19" i="127"/>
  <c r="O19" i="127"/>
  <c r="N19" i="127"/>
  <c r="M19" i="127"/>
  <c r="L19" i="127"/>
  <c r="K19" i="127"/>
  <c r="AS18" i="127"/>
  <c r="AR18" i="127"/>
  <c r="AQ18" i="127"/>
  <c r="AP18" i="127"/>
  <c r="AO18" i="127"/>
  <c r="AN18" i="127"/>
  <c r="AM18" i="127"/>
  <c r="AL18" i="127"/>
  <c r="AK18" i="127"/>
  <c r="AJ18" i="127"/>
  <c r="AI18" i="127"/>
  <c r="AH18" i="127"/>
  <c r="AG18" i="127"/>
  <c r="AF18" i="127"/>
  <c r="AE18" i="127"/>
  <c r="AD18" i="127"/>
  <c r="AC18" i="127"/>
  <c r="AB18" i="127"/>
  <c r="AA18" i="127"/>
  <c r="Z18" i="127"/>
  <c r="Y18" i="127"/>
  <c r="X18" i="127"/>
  <c r="W18" i="127"/>
  <c r="V18" i="127"/>
  <c r="U18" i="127"/>
  <c r="T18" i="127"/>
  <c r="S18" i="127"/>
  <c r="R18" i="127"/>
  <c r="Q18" i="127"/>
  <c r="P18" i="127"/>
  <c r="O18" i="127"/>
  <c r="N18" i="127"/>
  <c r="M18" i="127"/>
  <c r="L18" i="127"/>
  <c r="K18" i="127"/>
  <c r="A29" i="127"/>
  <c r="A30" i="127"/>
  <c r="A31" i="127"/>
  <c r="A32" i="127"/>
  <c r="A33" i="127"/>
  <c r="A34" i="127"/>
  <c r="A35" i="127"/>
  <c r="A36" i="127"/>
  <c r="A37" i="127"/>
  <c r="A38" i="127"/>
  <c r="A39" i="127"/>
  <c r="A40" i="127"/>
  <c r="A41" i="127"/>
  <c r="A42" i="127"/>
  <c r="A43" i="127"/>
  <c r="A44" i="127"/>
  <c r="A45" i="127"/>
  <c r="A46" i="127"/>
  <c r="A47" i="127"/>
  <c r="A48" i="127"/>
  <c r="A49" i="127"/>
  <c r="A50" i="127"/>
  <c r="A51" i="127"/>
  <c r="A52" i="127"/>
  <c r="A53" i="127"/>
  <c r="A54" i="127"/>
  <c r="A55" i="127"/>
  <c r="A56" i="127"/>
  <c r="A57" i="127"/>
  <c r="A58" i="127"/>
  <c r="A59" i="127"/>
  <c r="A60" i="127"/>
  <c r="A61" i="127"/>
  <c r="A62" i="127"/>
  <c r="A63" i="127"/>
  <c r="A64" i="127"/>
  <c r="A65" i="127"/>
  <c r="A66" i="127"/>
  <c r="A67" i="127"/>
  <c r="A68" i="127"/>
  <c r="A69" i="127"/>
  <c r="A70" i="127"/>
  <c r="A71" i="127"/>
  <c r="A72" i="127"/>
  <c r="A73" i="127"/>
  <c r="A74" i="127"/>
  <c r="A75" i="127"/>
  <c r="A76" i="127"/>
  <c r="A77" i="127"/>
  <c r="A78" i="127"/>
  <c r="A79" i="127"/>
  <c r="A80" i="127"/>
  <c r="A81" i="127"/>
  <c r="A82" i="127"/>
  <c r="A83" i="127"/>
  <c r="A84" i="127"/>
  <c r="A85" i="127"/>
  <c r="A86" i="127"/>
  <c r="A87" i="127"/>
  <c r="A88" i="127"/>
  <c r="A89" i="127"/>
  <c r="A90" i="127"/>
  <c r="A91" i="127"/>
  <c r="A92" i="127"/>
  <c r="A93" i="127"/>
  <c r="A94" i="127"/>
  <c r="A95" i="127"/>
  <c r="A96" i="127"/>
  <c r="A97" i="127"/>
  <c r="A98" i="127"/>
  <c r="A99" i="127"/>
  <c r="A100" i="127"/>
  <c r="A101" i="127"/>
  <c r="A102" i="127"/>
  <c r="A103" i="127"/>
  <c r="A104" i="127"/>
  <c r="A105" i="127"/>
  <c r="A106" i="127"/>
  <c r="A107" i="127"/>
  <c r="A14" i="127"/>
  <c r="A15" i="127"/>
  <c r="A16" i="127"/>
  <c r="A17" i="127"/>
  <c r="A18" i="127"/>
  <c r="A19" i="127"/>
  <c r="A20" i="127"/>
  <c r="A21" i="127"/>
  <c r="A22" i="127"/>
  <c r="A23" i="127"/>
  <c r="A24" i="127"/>
  <c r="A25" i="127"/>
  <c r="A26" i="127"/>
  <c r="A27" i="127"/>
  <c r="A28" i="127"/>
  <c r="I52" i="127"/>
  <c r="I53" i="127" s="1"/>
  <c r="H52" i="127"/>
  <c r="H53" i="127"/>
  <c r="G52" i="127"/>
  <c r="G53" i="127"/>
  <c r="F52" i="127"/>
  <c r="F53" i="127"/>
  <c r="AS67" i="127"/>
  <c r="AR67" i="127"/>
  <c r="AQ67" i="127"/>
  <c r="AP67" i="127"/>
  <c r="AO67" i="127"/>
  <c r="AN67" i="127"/>
  <c r="AM67" i="127"/>
  <c r="AL67" i="127"/>
  <c r="AK67" i="127"/>
  <c r="AJ67" i="127"/>
  <c r="AI67" i="127"/>
  <c r="AH67" i="127"/>
  <c r="AG67" i="127"/>
  <c r="AF67" i="127"/>
  <c r="AE67" i="127"/>
  <c r="AD67" i="127"/>
  <c r="AC67" i="127"/>
  <c r="AB67" i="127"/>
  <c r="AA67" i="127"/>
  <c r="Z67" i="127"/>
  <c r="Y67" i="127"/>
  <c r="X67" i="127"/>
  <c r="W67" i="127"/>
  <c r="V67" i="127"/>
  <c r="U67" i="127"/>
  <c r="T67" i="127"/>
  <c r="S67" i="127"/>
  <c r="R67" i="127"/>
  <c r="Q67" i="127"/>
  <c r="P67" i="127"/>
  <c r="O67" i="127"/>
  <c r="N67" i="127"/>
  <c r="M67" i="127"/>
  <c r="L67" i="127"/>
  <c r="K67" i="127"/>
  <c r="CG66" i="127"/>
  <c r="CI66" i="127"/>
  <c r="AR66" i="127" s="1"/>
  <c r="CK66" i="127"/>
  <c r="AQ66" i="127"/>
  <c r="CD66" i="127"/>
  <c r="AP66" i="127"/>
  <c r="CC66" i="127"/>
  <c r="AO66" i="127"/>
  <c r="CJ66" i="127"/>
  <c r="AN66" i="127" s="1"/>
  <c r="CH66" i="127"/>
  <c r="AM66" i="127" s="1"/>
  <c r="CE66" i="127"/>
  <c r="AL66" i="127"/>
  <c r="CB66" i="127"/>
  <c r="AK66" i="127"/>
  <c r="BY66" i="127"/>
  <c r="AJ66" i="127"/>
  <c r="BW66" i="127"/>
  <c r="AI66" i="127" s="1"/>
  <c r="BZ66" i="127"/>
  <c r="AH66" i="127"/>
  <c r="BV66" i="127"/>
  <c r="AG66" i="127"/>
  <c r="CA66" i="127"/>
  <c r="AF66" i="127" s="1"/>
  <c r="BT66" i="127"/>
  <c r="AE66" i="127" s="1"/>
  <c r="BU66" i="127"/>
  <c r="BX66" i="127"/>
  <c r="AC66" i="127" s="1"/>
  <c r="BP66" i="127"/>
  <c r="AB66" i="127"/>
  <c r="BQ66" i="127"/>
  <c r="AA66" i="127" s="1"/>
  <c r="Z66" i="127"/>
  <c r="Y66" i="127"/>
  <c r="BI66" i="127"/>
  <c r="G66" i="127" s="1"/>
  <c r="BR66" i="127"/>
  <c r="W66" i="127" s="1"/>
  <c r="BJ66" i="127"/>
  <c r="V66" i="127"/>
  <c r="U66" i="127"/>
  <c r="T66" i="127"/>
  <c r="AV66" i="127"/>
  <c r="S66" i="127"/>
  <c r="R66" i="127"/>
  <c r="Q66" i="127"/>
  <c r="P66" i="127"/>
  <c r="O66" i="127"/>
  <c r="AW66" i="127"/>
  <c r="N66" i="127"/>
  <c r="M66" i="127"/>
  <c r="L66" i="127"/>
  <c r="BF66" i="127"/>
  <c r="K66" i="127"/>
  <c r="I67" i="127"/>
  <c r="H67" i="127"/>
  <c r="G67" i="127"/>
  <c r="F67" i="127"/>
  <c r="F66" i="127"/>
  <c r="CL67" i="127"/>
  <c r="I44" i="127"/>
  <c r="H44" i="127"/>
  <c r="G44" i="127"/>
  <c r="F44" i="127"/>
  <c r="AA42" i="127"/>
  <c r="CL44" i="127"/>
  <c r="CK44" i="127"/>
  <c r="CJ44" i="127"/>
  <c r="CI44" i="127"/>
  <c r="CH44" i="127"/>
  <c r="CG44" i="127"/>
  <c r="CF44" i="127"/>
  <c r="CE44" i="127"/>
  <c r="CD44" i="127"/>
  <c r="CC44" i="127"/>
  <c r="CB44" i="127"/>
  <c r="AK44" i="127" s="1"/>
  <c r="CA44" i="127"/>
  <c r="BZ44" i="127"/>
  <c r="BY44" i="127"/>
  <c r="BX44" i="127"/>
  <c r="BW44" i="127"/>
  <c r="AI44" i="127" s="1"/>
  <c r="BV44" i="127"/>
  <c r="BU44" i="127"/>
  <c r="BT44" i="127"/>
  <c r="BS44" i="127"/>
  <c r="BR44" i="127"/>
  <c r="W44" i="127" s="1"/>
  <c r="BQ44" i="127"/>
  <c r="BP44" i="127"/>
  <c r="BN44" i="127"/>
  <c r="BM44" i="127"/>
  <c r="BK44" i="127"/>
  <c r="BJ44" i="127"/>
  <c r="BI44" i="127"/>
  <c r="BF44" i="127"/>
  <c r="BE44" i="127"/>
  <c r="BD44" i="127"/>
  <c r="BC44" i="127"/>
  <c r="BB44" i="127"/>
  <c r="BA44" i="127"/>
  <c r="AZ44" i="127"/>
  <c r="AY44" i="127"/>
  <c r="AX44" i="127"/>
  <c r="AW44" i="127"/>
  <c r="AV44" i="127"/>
  <c r="AU44" i="127"/>
  <c r="AT44" i="127"/>
  <c r="R44" i="127" s="1"/>
  <c r="B31" i="127"/>
  <c r="BY97" i="127"/>
  <c r="BY96" i="127"/>
  <c r="BY95" i="127"/>
  <c r="CL24" i="127"/>
  <c r="CL31" i="127" s="1"/>
  <c r="CK24" i="127"/>
  <c r="CK31" i="127"/>
  <c r="CJ24" i="127"/>
  <c r="CJ31" i="127"/>
  <c r="AN31" i="127" s="1"/>
  <c r="CI24" i="127"/>
  <c r="CI31" i="127" s="1"/>
  <c r="AR31" i="127" s="1"/>
  <c r="CH24" i="127"/>
  <c r="CH31" i="127" s="1"/>
  <c r="AM31" i="127" s="1"/>
  <c r="CG24" i="127"/>
  <c r="CF31" i="127"/>
  <c r="CE24" i="127"/>
  <c r="CE31" i="127"/>
  <c r="CD24" i="127"/>
  <c r="CC24" i="127"/>
  <c r="CC31" i="127" s="1"/>
  <c r="AO31" i="127" s="1"/>
  <c r="CB24" i="127"/>
  <c r="CB31" i="127"/>
  <c r="AK31" i="127" s="1"/>
  <c r="CA24" i="127"/>
  <c r="CA31" i="127"/>
  <c r="BZ24" i="127"/>
  <c r="BZ31" i="127"/>
  <c r="BY24" i="127"/>
  <c r="BX24" i="127"/>
  <c r="BX31" i="127" s="1"/>
  <c r="AC31" i="127" s="1"/>
  <c r="BW24" i="127"/>
  <c r="BW31" i="127"/>
  <c r="AI31" i="127" s="1"/>
  <c r="BV24" i="127"/>
  <c r="BV31" i="127"/>
  <c r="BU24" i="127"/>
  <c r="BU31" i="127"/>
  <c r="BT24" i="127"/>
  <c r="BT31" i="127" s="1"/>
  <c r="BS24" i="127"/>
  <c r="BS31" i="127" s="1"/>
  <c r="BR24" i="127"/>
  <c r="BR31" i="127"/>
  <c r="W31" i="127" s="1"/>
  <c r="BQ24" i="127"/>
  <c r="BQ31" i="127"/>
  <c r="BP24" i="127"/>
  <c r="BP31" i="127"/>
  <c r="BO31" i="127"/>
  <c r="AA31" i="127" s="1"/>
  <c r="BN24" i="127"/>
  <c r="BN31" i="127"/>
  <c r="BM24" i="127"/>
  <c r="BM31" i="127"/>
  <c r="BL31" i="127"/>
  <c r="Y31" i="127" s="1"/>
  <c r="BK31" i="127"/>
  <c r="BJ24" i="127"/>
  <c r="BJ31" i="127" s="1"/>
  <c r="BI24" i="127"/>
  <c r="BI31" i="127"/>
  <c r="BH31" i="127"/>
  <c r="BG24" i="127"/>
  <c r="BG31" i="127" s="1"/>
  <c r="BF24" i="127"/>
  <c r="BF31" i="127"/>
  <c r="BE24" i="127"/>
  <c r="BE31" i="127"/>
  <c r="BD24" i="127"/>
  <c r="BD31" i="127"/>
  <c r="BC24" i="127"/>
  <c r="BC31" i="127" s="1"/>
  <c r="U31" i="127" s="1"/>
  <c r="BB24" i="127"/>
  <c r="BB31" i="127" s="1"/>
  <c r="T31" i="127" s="1"/>
  <c r="BA24" i="127"/>
  <c r="BA31" i="127"/>
  <c r="AZ24" i="127"/>
  <c r="AZ31" i="127"/>
  <c r="AY24" i="127"/>
  <c r="AY31" i="127"/>
  <c r="AX24" i="127"/>
  <c r="AW24" i="127"/>
  <c r="AW31" i="127" s="1"/>
  <c r="AV24" i="127"/>
  <c r="AV31" i="127"/>
  <c r="S31" i="127" s="1"/>
  <c r="AU24" i="127"/>
  <c r="AU31" i="127"/>
  <c r="AT24" i="127"/>
  <c r="AT31" i="127"/>
  <c r="I24" i="127"/>
  <c r="I31" i="127" s="1"/>
  <c r="H24" i="127"/>
  <c r="H31" i="127" s="1"/>
  <c r="G24" i="127"/>
  <c r="G31" i="127"/>
  <c r="F24" i="127"/>
  <c r="F31" i="127"/>
  <c r="I17" i="127"/>
  <c r="H17" i="127"/>
  <c r="G17" i="127"/>
  <c r="AS87" i="127"/>
  <c r="AR87" i="127"/>
  <c r="AQ87" i="127"/>
  <c r="AP87" i="127"/>
  <c r="AO87" i="127"/>
  <c r="AN87" i="127"/>
  <c r="AM87" i="127"/>
  <c r="AL87" i="127"/>
  <c r="AK87" i="127"/>
  <c r="AJ87" i="127"/>
  <c r="AI87" i="127"/>
  <c r="AH87" i="127"/>
  <c r="AG87" i="127"/>
  <c r="AF87" i="127"/>
  <c r="AE87" i="127"/>
  <c r="AD87" i="127"/>
  <c r="AC87" i="127"/>
  <c r="AB87" i="127"/>
  <c r="AA87" i="127"/>
  <c r="Z87" i="127"/>
  <c r="Y87" i="127"/>
  <c r="X87" i="127"/>
  <c r="W87" i="127"/>
  <c r="V87" i="127"/>
  <c r="U87" i="127"/>
  <c r="T87" i="127"/>
  <c r="S87" i="127"/>
  <c r="R87" i="127"/>
  <c r="Q87" i="127"/>
  <c r="P87" i="127"/>
  <c r="O87" i="127"/>
  <c r="N87" i="127"/>
  <c r="M87" i="127"/>
  <c r="L87" i="127"/>
  <c r="K87" i="127"/>
  <c r="AT52" i="127"/>
  <c r="AT51" i="127"/>
  <c r="CJ54" i="127"/>
  <c r="CI54" i="127"/>
  <c r="CH54" i="127"/>
  <c r="AM54" i="127" s="1"/>
  <c r="CG54" i="127"/>
  <c r="CF54" i="127"/>
  <c r="CE54" i="127"/>
  <c r="CD54" i="127"/>
  <c r="CC54" i="127"/>
  <c r="CB54" i="127"/>
  <c r="CA54" i="127"/>
  <c r="BZ54" i="127"/>
  <c r="BY54" i="127"/>
  <c r="BX54" i="127"/>
  <c r="AC54" i="127" s="1"/>
  <c r="BW54" i="127"/>
  <c r="BV54" i="127"/>
  <c r="BU54" i="127"/>
  <c r="BT54" i="127"/>
  <c r="BS54" i="127"/>
  <c r="BR54" i="127"/>
  <c r="BQ54" i="127"/>
  <c r="BP54" i="127"/>
  <c r="BO54" i="127"/>
  <c r="BN54" i="127"/>
  <c r="BM54" i="127"/>
  <c r="BL54" i="127"/>
  <c r="BK54" i="127"/>
  <c r="BJ54" i="127"/>
  <c r="BI54" i="127"/>
  <c r="BH54" i="127"/>
  <c r="BG54" i="127"/>
  <c r="BF54" i="127"/>
  <c r="BE54" i="127"/>
  <c r="BD54" i="127"/>
  <c r="BC54" i="127"/>
  <c r="BB54" i="127"/>
  <c r="BA54" i="127"/>
  <c r="AZ54" i="127"/>
  <c r="AY54" i="127"/>
  <c r="AX54" i="127"/>
  <c r="AW54" i="127"/>
  <c r="AV54" i="127"/>
  <c r="AU54" i="127"/>
  <c r="AT54" i="127"/>
  <c r="CJ52" i="127"/>
  <c r="CJ53" i="127"/>
  <c r="CI52" i="127"/>
  <c r="CI53" i="127"/>
  <c r="CH52" i="127"/>
  <c r="CH53" i="127" s="1"/>
  <c r="AM53" i="127" s="1"/>
  <c r="CG52" i="127"/>
  <c r="CG53" i="127" s="1"/>
  <c r="CF52" i="127"/>
  <c r="CF53" i="127"/>
  <c r="CE52" i="127"/>
  <c r="CE53" i="127"/>
  <c r="CD52" i="127"/>
  <c r="CD53" i="127"/>
  <c r="CC52" i="127"/>
  <c r="CB52" i="127"/>
  <c r="CB53" i="127" s="1"/>
  <c r="AK53" i="127" s="1"/>
  <c r="CA52" i="127"/>
  <c r="CA53" i="127"/>
  <c r="AF53" i="127" s="1"/>
  <c r="BZ52" i="127"/>
  <c r="BZ53" i="127"/>
  <c r="BY52" i="127"/>
  <c r="BY53" i="127"/>
  <c r="BX52" i="127"/>
  <c r="BX53" i="127" s="1"/>
  <c r="AC53" i="127" s="1"/>
  <c r="BW52" i="127"/>
  <c r="BW53" i="127" s="1"/>
  <c r="AI53" i="127" s="1"/>
  <c r="BV52" i="127"/>
  <c r="BV53" i="127"/>
  <c r="AG53" i="127" s="1"/>
  <c r="BU52" i="127"/>
  <c r="BU53" i="127"/>
  <c r="BT52" i="127"/>
  <c r="BT53" i="127"/>
  <c r="BS52" i="127"/>
  <c r="BR52" i="127"/>
  <c r="BR53" i="127" s="1"/>
  <c r="W53" i="127" s="1"/>
  <c r="BQ52" i="127"/>
  <c r="BQ53" i="127"/>
  <c r="BP52" i="127"/>
  <c r="BP53" i="127"/>
  <c r="BO52" i="127"/>
  <c r="BO53" i="127"/>
  <c r="BN52" i="127"/>
  <c r="BN53" i="127" s="1"/>
  <c r="BM52" i="127"/>
  <c r="BM53" i="127" s="1"/>
  <c r="Z53" i="127" s="1"/>
  <c r="BL52" i="127"/>
  <c r="BL53" i="127"/>
  <c r="BK52" i="127"/>
  <c r="BK53" i="127"/>
  <c r="BJ52" i="127"/>
  <c r="BJ53" i="127"/>
  <c r="BI52" i="127"/>
  <c r="BH52" i="127"/>
  <c r="BH53" i="127" s="1"/>
  <c r="BG53" i="127"/>
  <c r="BF52" i="127"/>
  <c r="BF53" i="127" s="1"/>
  <c r="BE52" i="127"/>
  <c r="BE53" i="127" s="1"/>
  <c r="BD52" i="127"/>
  <c r="BD53" i="127"/>
  <c r="BC52" i="127"/>
  <c r="BC53" i="127"/>
  <c r="BB52" i="127"/>
  <c r="BB53" i="127"/>
  <c r="BA52" i="127"/>
  <c r="AZ52" i="127"/>
  <c r="AZ53" i="127" s="1"/>
  <c r="AY52" i="127"/>
  <c r="AY53" i="127"/>
  <c r="AX52" i="127"/>
  <c r="AX53" i="127"/>
  <c r="AW52" i="127"/>
  <c r="AW53" i="127"/>
  <c r="AV52" i="127"/>
  <c r="AU53" i="127"/>
  <c r="AT53" i="127"/>
  <c r="CK54" i="127"/>
  <c r="CK52" i="127"/>
  <c r="CK53" i="127" s="1"/>
  <c r="AQ53" i="127" s="1"/>
  <c r="AA52" i="127"/>
  <c r="C101" i="127"/>
  <c r="C97" i="127"/>
  <c r="CL29" i="127"/>
  <c r="CL28" i="127"/>
  <c r="CL27" i="127"/>
  <c r="CL26" i="127"/>
  <c r="CK28" i="127"/>
  <c r="CK27" i="127"/>
  <c r="CK26" i="127"/>
  <c r="CJ28" i="127"/>
  <c r="CJ27" i="127"/>
  <c r="AN27" i="127" s="1"/>
  <c r="CJ26" i="127"/>
  <c r="CI28" i="127"/>
  <c r="CI27" i="127"/>
  <c r="CI26" i="127"/>
  <c r="CH28" i="127"/>
  <c r="AM28" i="127" s="1"/>
  <c r="CH27" i="127"/>
  <c r="CH26" i="127"/>
  <c r="CG28" i="127"/>
  <c r="CG27" i="127"/>
  <c r="CG26" i="127"/>
  <c r="CE28" i="127"/>
  <c r="CE27" i="127"/>
  <c r="CE26" i="127"/>
  <c r="CD28" i="127"/>
  <c r="CD27" i="127"/>
  <c r="AP27" i="127" s="1"/>
  <c r="CD26" i="127"/>
  <c r="CC29" i="127"/>
  <c r="CC28" i="127"/>
  <c r="CC27" i="127"/>
  <c r="CC26" i="127"/>
  <c r="AO26" i="127" s="1"/>
  <c r="CB29" i="127"/>
  <c r="CB28" i="127"/>
  <c r="CB27" i="127"/>
  <c r="CB26" i="127"/>
  <c r="CB25" i="127"/>
  <c r="CA28" i="127"/>
  <c r="CA27" i="127"/>
  <c r="CA26" i="127"/>
  <c r="BZ29" i="127"/>
  <c r="BZ28" i="127"/>
  <c r="AH28" i="127" s="1"/>
  <c r="BZ27" i="127"/>
  <c r="BZ26" i="127"/>
  <c r="BY28" i="127"/>
  <c r="BY27" i="127"/>
  <c r="BY26" i="127"/>
  <c r="AJ26" i="127" s="1"/>
  <c r="BX28" i="127"/>
  <c r="BX27" i="127"/>
  <c r="BX26" i="127"/>
  <c r="BW28" i="127"/>
  <c r="BW27" i="127"/>
  <c r="AI27" i="127" s="1"/>
  <c r="BW26" i="127"/>
  <c r="BV28" i="127"/>
  <c r="BV27" i="127"/>
  <c r="BV26" i="127"/>
  <c r="BU29" i="127"/>
  <c r="BU28" i="127"/>
  <c r="BU27" i="127"/>
  <c r="BU26" i="127"/>
  <c r="BT28" i="127"/>
  <c r="BT27" i="127"/>
  <c r="BT26" i="127"/>
  <c r="BS28" i="127"/>
  <c r="BS27" i="127"/>
  <c r="BS26" i="127"/>
  <c r="BR28" i="127"/>
  <c r="W28" i="127" s="1"/>
  <c r="BR27" i="127"/>
  <c r="BR26" i="127"/>
  <c r="BQ28" i="127"/>
  <c r="BQ27" i="127"/>
  <c r="BQ26" i="127"/>
  <c r="AA26" i="127" s="1"/>
  <c r="BP28" i="127"/>
  <c r="BP27" i="127"/>
  <c r="BP26" i="127"/>
  <c r="BN28" i="127"/>
  <c r="BN27" i="127"/>
  <c r="Y27" i="127" s="1"/>
  <c r="BN26" i="127"/>
  <c r="BM28" i="127"/>
  <c r="BM27" i="127"/>
  <c r="BM26" i="127"/>
  <c r="BJ29" i="127"/>
  <c r="V29" i="127" s="1"/>
  <c r="BJ28" i="127"/>
  <c r="BJ27" i="127"/>
  <c r="BJ26" i="127"/>
  <c r="BI29" i="127"/>
  <c r="BI28" i="127"/>
  <c r="X28" i="127" s="1"/>
  <c r="BI27" i="127"/>
  <c r="BI26" i="127"/>
  <c r="BG28" i="127"/>
  <c r="BG27" i="127"/>
  <c r="BG26" i="127"/>
  <c r="V26" i="127" s="1"/>
  <c r="BF28" i="127"/>
  <c r="BF27" i="127"/>
  <c r="BF26" i="127"/>
  <c r="BE28" i="127"/>
  <c r="BE27" i="127"/>
  <c r="O27" i="127" s="1"/>
  <c r="BE26" i="127"/>
  <c r="BD28" i="127"/>
  <c r="BD27" i="127"/>
  <c r="BD26" i="127"/>
  <c r="BC28" i="127"/>
  <c r="U28" i="127" s="1"/>
  <c r="BC27" i="127"/>
  <c r="BC26" i="127"/>
  <c r="BB28" i="127"/>
  <c r="BB27" i="127"/>
  <c r="BB26" i="127"/>
  <c r="BA28" i="127"/>
  <c r="BA27" i="127"/>
  <c r="BA26" i="127"/>
  <c r="AZ28" i="127"/>
  <c r="AZ27" i="127"/>
  <c r="P27" i="127" s="1"/>
  <c r="AZ26" i="127"/>
  <c r="AY28" i="127"/>
  <c r="AY27" i="127"/>
  <c r="AY26" i="127"/>
  <c r="AX28" i="127"/>
  <c r="R28" i="127" s="1"/>
  <c r="AX27" i="127"/>
  <c r="AX26" i="127"/>
  <c r="AW28" i="127"/>
  <c r="AW27" i="127"/>
  <c r="AW26" i="127"/>
  <c r="AV28" i="127"/>
  <c r="AV27" i="127"/>
  <c r="AV26" i="127"/>
  <c r="AU28" i="127"/>
  <c r="AU27" i="127"/>
  <c r="Q27" i="127" s="1"/>
  <c r="AU26" i="127"/>
  <c r="AT28" i="127"/>
  <c r="AT27" i="127"/>
  <c r="AT26" i="127"/>
  <c r="K27" i="127"/>
  <c r="L27" i="127"/>
  <c r="M27" i="127"/>
  <c r="N27" i="127"/>
  <c r="R27" i="127"/>
  <c r="S27" i="127"/>
  <c r="T27" i="127"/>
  <c r="U27" i="127"/>
  <c r="V27" i="127"/>
  <c r="W27" i="127"/>
  <c r="X27" i="127"/>
  <c r="Z27" i="127"/>
  <c r="AA27" i="127"/>
  <c r="AB27" i="127"/>
  <c r="AC27" i="127"/>
  <c r="AD27" i="127"/>
  <c r="AE27" i="127"/>
  <c r="AF27" i="127"/>
  <c r="AG27" i="127"/>
  <c r="AH27" i="127"/>
  <c r="AJ27" i="127"/>
  <c r="AK27" i="127"/>
  <c r="AL27" i="127"/>
  <c r="AM27" i="127"/>
  <c r="AO27" i="127"/>
  <c r="AQ27" i="127"/>
  <c r="AR27" i="127"/>
  <c r="AS27" i="127"/>
  <c r="I28" i="127"/>
  <c r="I27" i="127"/>
  <c r="I26" i="127"/>
  <c r="H28" i="127"/>
  <c r="H27" i="127"/>
  <c r="H26" i="127"/>
  <c r="G28" i="127"/>
  <c r="G27" i="127"/>
  <c r="G26" i="127"/>
  <c r="F28" i="127"/>
  <c r="F27" i="127"/>
  <c r="F26" i="127"/>
  <c r="AS95" i="127"/>
  <c r="AS96" i="127"/>
  <c r="AS98" i="127"/>
  <c r="AS99" i="127"/>
  <c r="AS53" i="127" s="1"/>
  <c r="AS97" i="127"/>
  <c r="AS70" i="127"/>
  <c r="AS52" i="127"/>
  <c r="AS49" i="127"/>
  <c r="AS42" i="127"/>
  <c r="AS43" i="127"/>
  <c r="CC51" i="127"/>
  <c r="CD51" i="127"/>
  <c r="CE51" i="127"/>
  <c r="AL51" i="127" s="1"/>
  <c r="CF51" i="127"/>
  <c r="CG51" i="127"/>
  <c r="CH51" i="127"/>
  <c r="CI51" i="127"/>
  <c r="CJ51" i="127"/>
  <c r="AN51" i="127" s="1"/>
  <c r="CK51" i="127"/>
  <c r="CL51" i="127"/>
  <c r="BZ51" i="127"/>
  <c r="CA51" i="127"/>
  <c r="CB51" i="127"/>
  <c r="AK51" i="127" s="1"/>
  <c r="BY51" i="127"/>
  <c r="AE46" i="127"/>
  <c r="AE39" i="127"/>
  <c r="AA99" i="127"/>
  <c r="AA98" i="127"/>
  <c r="AA54" i="127" s="1"/>
  <c r="AA96" i="127"/>
  <c r="AA95" i="127"/>
  <c r="AA97" i="127"/>
  <c r="AA70" i="127"/>
  <c r="AA45" i="127"/>
  <c r="AA47" i="127" s="1"/>
  <c r="AA46" i="127"/>
  <c r="AA43" i="127"/>
  <c r="Y95" i="127"/>
  <c r="Y96" i="127"/>
  <c r="Y51" i="127" s="1"/>
  <c r="Y98" i="127"/>
  <c r="Y99" i="127"/>
  <c r="Y97" i="127"/>
  <c r="Y70" i="127"/>
  <c r="Y52" i="127"/>
  <c r="Y53" i="127" s="1"/>
  <c r="Y49" i="127"/>
  <c r="Y45" i="127"/>
  <c r="Y47" i="127"/>
  <c r="Y42" i="127"/>
  <c r="Y44" i="127"/>
  <c r="Y46" i="127"/>
  <c r="Y43" i="127"/>
  <c r="Y39" i="127"/>
  <c r="Y38" i="127"/>
  <c r="BL71" i="127"/>
  <c r="X95" i="127"/>
  <c r="X96" i="127"/>
  <c r="X98" i="127"/>
  <c r="X99" i="127"/>
  <c r="X97" i="127"/>
  <c r="X49" i="127"/>
  <c r="X39" i="127"/>
  <c r="BH82" i="127"/>
  <c r="V45" i="127"/>
  <c r="V47" i="127"/>
  <c r="BJ82" i="127"/>
  <c r="AS35" i="127"/>
  <c r="AS93" i="127"/>
  <c r="AS65" i="127" s="1"/>
  <c r="AR35" i="127"/>
  <c r="AR65" i="127" s="1"/>
  <c r="AR93" i="127"/>
  <c r="AQ35" i="127"/>
  <c r="AQ93" i="127"/>
  <c r="AQ65" i="127"/>
  <c r="AP35" i="127"/>
  <c r="AP65" i="127" s="1"/>
  <c r="AP93" i="127"/>
  <c r="AO35" i="127"/>
  <c r="AO93" i="127"/>
  <c r="AO65" i="127" s="1"/>
  <c r="AN35" i="127"/>
  <c r="AN65" i="127" s="1"/>
  <c r="AN93" i="127"/>
  <c r="AM35" i="127"/>
  <c r="AM65" i="127" s="1"/>
  <c r="AM93" i="127"/>
  <c r="AL35" i="127"/>
  <c r="AL93" i="127"/>
  <c r="AL65" i="127"/>
  <c r="AK35" i="127"/>
  <c r="AK93" i="127"/>
  <c r="AK65" i="127"/>
  <c r="AJ35" i="127"/>
  <c r="AJ93" i="127"/>
  <c r="AJ65" i="127" s="1"/>
  <c r="AI35" i="127"/>
  <c r="AI65" i="127" s="1"/>
  <c r="AI93" i="127"/>
  <c r="AH35" i="127"/>
  <c r="AH65" i="127" s="1"/>
  <c r="AH93" i="127"/>
  <c r="AG35" i="127"/>
  <c r="AG93" i="127"/>
  <c r="AG65" i="127"/>
  <c r="AF35" i="127"/>
  <c r="AF93" i="127"/>
  <c r="AF65" i="127"/>
  <c r="AE35" i="127"/>
  <c r="AE93" i="127"/>
  <c r="AE65" i="127" s="1"/>
  <c r="AD35" i="127"/>
  <c r="AD65" i="127" s="1"/>
  <c r="AD93" i="127"/>
  <c r="AC35" i="127"/>
  <c r="AC65" i="127" s="1"/>
  <c r="AC93" i="127"/>
  <c r="AB35" i="127"/>
  <c r="AB93" i="127"/>
  <c r="AB65" i="127"/>
  <c r="AA35" i="127"/>
  <c r="AA93" i="127"/>
  <c r="AA65" i="127" s="1"/>
  <c r="Z35" i="127"/>
  <c r="Z65" i="127" s="1"/>
  <c r="Z93" i="127"/>
  <c r="Y35" i="127"/>
  <c r="Y65" i="127" s="1"/>
  <c r="Y93" i="127"/>
  <c r="X35" i="127"/>
  <c r="W35" i="127"/>
  <c r="W93" i="127"/>
  <c r="W65" i="127"/>
  <c r="V35" i="127"/>
  <c r="V93" i="127"/>
  <c r="V65" i="127" s="1"/>
  <c r="U93" i="127"/>
  <c r="U35" i="127"/>
  <c r="U65" i="127" s="1"/>
  <c r="T35" i="127"/>
  <c r="T65" i="127" s="1"/>
  <c r="T93" i="127"/>
  <c r="S93" i="127"/>
  <c r="S65" i="127" s="1"/>
  <c r="S35" i="127"/>
  <c r="R35" i="127"/>
  <c r="R93" i="127" s="1"/>
  <c r="R65" i="127"/>
  <c r="Q93" i="127"/>
  <c r="Q35" i="127"/>
  <c r="Q65" i="127" s="1"/>
  <c r="P35" i="127"/>
  <c r="P93" i="127"/>
  <c r="P65" i="127" s="1"/>
  <c r="O35" i="127"/>
  <c r="O65" i="127" s="1"/>
  <c r="O93" i="127"/>
  <c r="N93" i="127"/>
  <c r="N65" i="127" s="1"/>
  <c r="N35" i="127"/>
  <c r="M35" i="127"/>
  <c r="M93" i="127"/>
  <c r="M65" i="127"/>
  <c r="L93" i="127"/>
  <c r="L35" i="127"/>
  <c r="L65" i="127" s="1"/>
  <c r="K35" i="127"/>
  <c r="K93" i="127"/>
  <c r="J65" i="127"/>
  <c r="P99" i="127"/>
  <c r="P98" i="127"/>
  <c r="P96" i="127"/>
  <c r="P95" i="127"/>
  <c r="P97" i="127"/>
  <c r="P63" i="127"/>
  <c r="P62" i="127"/>
  <c r="P61" i="127"/>
  <c r="P60" i="127"/>
  <c r="P59" i="127"/>
  <c r="P58" i="127"/>
  <c r="P57" i="127"/>
  <c r="P56" i="127"/>
  <c r="P49" i="127"/>
  <c r="P48" i="127"/>
  <c r="P47" i="127"/>
  <c r="P46" i="127"/>
  <c r="P45" i="127"/>
  <c r="P42" i="127"/>
  <c r="P44" i="127"/>
  <c r="P43" i="127"/>
  <c r="P41" i="127"/>
  <c r="R52" i="127"/>
  <c r="R49" i="127"/>
  <c r="R42" i="127"/>
  <c r="R43" i="127"/>
  <c r="CG21" i="127"/>
  <c r="CG14" i="127"/>
  <c r="R107" i="127"/>
  <c r="R106" i="127"/>
  <c r="R105" i="127"/>
  <c r="R104" i="127"/>
  <c r="R103" i="127"/>
  <c r="R102" i="127"/>
  <c r="R101" i="127"/>
  <c r="R99" i="127"/>
  <c r="R53" i="127" s="1"/>
  <c r="R98" i="127"/>
  <c r="R85" i="127"/>
  <c r="R84" i="127"/>
  <c r="R83" i="127"/>
  <c r="AX82" i="127"/>
  <c r="R82" i="127" s="1"/>
  <c r="R81" i="127"/>
  <c r="R80" i="127"/>
  <c r="R78" i="127"/>
  <c r="R77" i="127"/>
  <c r="R76" i="127"/>
  <c r="R75" i="127"/>
  <c r="R74" i="127"/>
  <c r="R73" i="127"/>
  <c r="R70" i="127"/>
  <c r="R69" i="127"/>
  <c r="R63" i="127"/>
  <c r="R62" i="127"/>
  <c r="R61" i="127"/>
  <c r="R60" i="127"/>
  <c r="R59" i="127"/>
  <c r="R58" i="127"/>
  <c r="R57" i="127"/>
  <c r="R56" i="127"/>
  <c r="R50" i="127"/>
  <c r="R48" i="127"/>
  <c r="R23" i="127"/>
  <c r="R32" i="127"/>
  <c r="R46" i="127"/>
  <c r="R45" i="127"/>
  <c r="R41" i="127"/>
  <c r="R39" i="127"/>
  <c r="R38" i="127"/>
  <c r="R37" i="127"/>
  <c r="R36" i="127"/>
  <c r="R29" i="127"/>
  <c r="R26" i="127"/>
  <c r="R25" i="127"/>
  <c r="R119" i="127"/>
  <c r="R20" i="127"/>
  <c r="R16" i="127"/>
  <c r="R17" i="127"/>
  <c r="R118" i="127"/>
  <c r="R9" i="127"/>
  <c r="R10" i="127"/>
  <c r="R11" i="127"/>
  <c r="R12" i="127"/>
  <c r="R13" i="127"/>
  <c r="R8" i="127"/>
  <c r="R7" i="127"/>
  <c r="F17" i="127"/>
  <c r="AT71" i="127"/>
  <c r="AT33" i="127"/>
  <c r="AT30" i="127"/>
  <c r="AT21" i="127"/>
  <c r="AT14" i="127"/>
  <c r="CL5" i="127"/>
  <c r="CK5" i="127"/>
  <c r="CJ5" i="127"/>
  <c r="CI5" i="127"/>
  <c r="CH5" i="127"/>
  <c r="CG5" i="127"/>
  <c r="CF5" i="127"/>
  <c r="CE5" i="127"/>
  <c r="CD5" i="127"/>
  <c r="CC5" i="127"/>
  <c r="CB5" i="127"/>
  <c r="CA5" i="127"/>
  <c r="BZ5" i="127"/>
  <c r="BY5" i="127"/>
  <c r="BX5" i="127"/>
  <c r="BW5" i="127"/>
  <c r="BV5" i="127"/>
  <c r="BU5" i="127"/>
  <c r="BT5" i="127"/>
  <c r="BS5" i="127"/>
  <c r="BR5" i="127"/>
  <c r="BQ5" i="127"/>
  <c r="BP5" i="127"/>
  <c r="BO5" i="127"/>
  <c r="BN5" i="127"/>
  <c r="BM5" i="127"/>
  <c r="BL5" i="127"/>
  <c r="BK5" i="127"/>
  <c r="BJ5" i="127"/>
  <c r="BI5" i="127"/>
  <c r="BH5" i="127"/>
  <c r="BG5" i="127"/>
  <c r="BF5" i="127"/>
  <c r="BE5" i="127"/>
  <c r="BD5" i="127"/>
  <c r="BC5" i="127"/>
  <c r="BB5" i="127"/>
  <c r="BA5" i="127"/>
  <c r="AZ5" i="127"/>
  <c r="AY5" i="127"/>
  <c r="AX5" i="127"/>
  <c r="AW5" i="127"/>
  <c r="AV5" i="127"/>
  <c r="AU5" i="127"/>
  <c r="AT5" i="127"/>
  <c r="AS5" i="127"/>
  <c r="AR5" i="127"/>
  <c r="AQ5" i="127"/>
  <c r="AP5" i="127"/>
  <c r="AO5" i="127"/>
  <c r="AN5" i="127"/>
  <c r="AM5" i="127"/>
  <c r="AL5" i="127"/>
  <c r="AK5" i="127"/>
  <c r="AJ5" i="127"/>
  <c r="AI5" i="127"/>
  <c r="AH5" i="127"/>
  <c r="AG5" i="127"/>
  <c r="AF5" i="127"/>
  <c r="AE5" i="127"/>
  <c r="AD5" i="127"/>
  <c r="AC5" i="127"/>
  <c r="AB5" i="127"/>
  <c r="AA5" i="127"/>
  <c r="Z5" i="127"/>
  <c r="Y5" i="127"/>
  <c r="X5" i="127"/>
  <c r="W5" i="127"/>
  <c r="V5" i="127"/>
  <c r="U5" i="127"/>
  <c r="T5" i="127"/>
  <c r="S5" i="127"/>
  <c r="R5" i="127"/>
  <c r="Q5" i="127"/>
  <c r="P5" i="127"/>
  <c r="O5" i="127"/>
  <c r="N5" i="127"/>
  <c r="M5" i="127"/>
  <c r="L5" i="127"/>
  <c r="K5" i="127"/>
  <c r="J5" i="127"/>
  <c r="I5" i="127"/>
  <c r="H5" i="127"/>
  <c r="G5" i="127"/>
  <c r="F5" i="127"/>
  <c r="AS39" i="127"/>
  <c r="AA39" i="127"/>
  <c r="AA38" i="127"/>
  <c r="AA49" i="127"/>
  <c r="X46" i="127"/>
  <c r="V46" i="127"/>
  <c r="AA44" i="127"/>
  <c r="X42" i="127"/>
  <c r="X44" i="127"/>
  <c r="X43" i="127"/>
  <c r="V42" i="127"/>
  <c r="V44" i="127" s="1"/>
  <c r="A6" i="127"/>
  <c r="A7" i="127"/>
  <c r="A8" i="127"/>
  <c r="A9" i="127"/>
  <c r="A10" i="127"/>
  <c r="A11" i="127"/>
  <c r="A12" i="127"/>
  <c r="A13" i="127"/>
  <c r="A5" i="127"/>
  <c r="K7" i="127"/>
  <c r="L7" i="127"/>
  <c r="M7" i="127"/>
  <c r="N7" i="127"/>
  <c r="O7" i="127"/>
  <c r="K8" i="127"/>
  <c r="L8" i="127"/>
  <c r="M8" i="127"/>
  <c r="N8" i="127"/>
  <c r="O8" i="127"/>
  <c r="K9" i="127"/>
  <c r="L9" i="127"/>
  <c r="M9" i="127"/>
  <c r="N9" i="127"/>
  <c r="O9" i="127"/>
  <c r="K10" i="127"/>
  <c r="L10" i="127"/>
  <c r="M10" i="127"/>
  <c r="N10" i="127"/>
  <c r="O10" i="127"/>
  <c r="K11" i="127"/>
  <c r="L11" i="127"/>
  <c r="M11" i="127"/>
  <c r="N11" i="127"/>
  <c r="O11" i="127"/>
  <c r="K12" i="127"/>
  <c r="L12" i="127"/>
  <c r="M12" i="127"/>
  <c r="N12" i="127"/>
  <c r="O12" i="127"/>
  <c r="AS50" i="127"/>
  <c r="AE50" i="127"/>
  <c r="AA50" i="127"/>
  <c r="Y50" i="127"/>
  <c r="X50" i="127"/>
  <c r="V50" i="127"/>
  <c r="P50" i="127"/>
  <c r="CL21" i="127"/>
  <c r="I21" i="127"/>
  <c r="H21" i="127"/>
  <c r="G21" i="127"/>
  <c r="F21" i="127"/>
  <c r="AS20" i="127"/>
  <c r="AS119" i="127"/>
  <c r="AS21" i="127"/>
  <c r="AR119" i="127"/>
  <c r="AR21" i="127" s="1"/>
  <c r="AR20" i="127"/>
  <c r="AQ119" i="127"/>
  <c r="AQ20" i="127"/>
  <c r="AQ21" i="127" s="1"/>
  <c r="AP119" i="127"/>
  <c r="AP21" i="127" s="1"/>
  <c r="AP20" i="127"/>
  <c r="AO119" i="127"/>
  <c r="AO21" i="127" s="1"/>
  <c r="AO20" i="127"/>
  <c r="AN119" i="127"/>
  <c r="AN20" i="127"/>
  <c r="AN21" i="127"/>
  <c r="AM119" i="127"/>
  <c r="AM21" i="127" s="1"/>
  <c r="AM20" i="127"/>
  <c r="AL119" i="127"/>
  <c r="AL20" i="127"/>
  <c r="AK119" i="127"/>
  <c r="AK21" i="127" s="1"/>
  <c r="AK20" i="127"/>
  <c r="AJ119" i="127"/>
  <c r="AJ21" i="127" s="1"/>
  <c r="AJ20" i="127"/>
  <c r="AI119" i="127"/>
  <c r="AI20" i="127"/>
  <c r="AI21" i="127"/>
  <c r="AH119" i="127"/>
  <c r="AH21" i="127" s="1"/>
  <c r="AH20" i="127"/>
  <c r="AG119" i="127"/>
  <c r="AG20" i="127"/>
  <c r="AG21" i="127" s="1"/>
  <c r="AF119" i="127"/>
  <c r="AF20" i="127"/>
  <c r="AF21" i="127"/>
  <c r="AE20" i="127"/>
  <c r="AE119" i="127"/>
  <c r="AD119" i="127"/>
  <c r="AD20" i="127"/>
  <c r="AD21" i="127"/>
  <c r="AC119" i="127"/>
  <c r="AC20" i="127"/>
  <c r="AC21" i="127"/>
  <c r="AB119" i="127"/>
  <c r="AB21" i="127" s="1"/>
  <c r="AB20" i="127"/>
  <c r="AA119" i="127"/>
  <c r="AA20" i="127"/>
  <c r="AA21" i="127"/>
  <c r="Z119" i="127"/>
  <c r="Z21" i="127" s="1"/>
  <c r="Z20" i="127"/>
  <c r="Y20" i="127"/>
  <c r="Y119" i="127"/>
  <c r="Y21" i="127"/>
  <c r="X119" i="127"/>
  <c r="X20" i="127"/>
  <c r="X21" i="127"/>
  <c r="W119" i="127"/>
  <c r="W21" i="127" s="1"/>
  <c r="W20" i="127"/>
  <c r="V119" i="127"/>
  <c r="V20" i="127"/>
  <c r="V21" i="127"/>
  <c r="U119" i="127"/>
  <c r="U21" i="127" s="1"/>
  <c r="U20" i="127"/>
  <c r="T119" i="127"/>
  <c r="T20" i="127"/>
  <c r="T21" i="127"/>
  <c r="S119" i="127"/>
  <c r="S20" i="127"/>
  <c r="S21" i="127"/>
  <c r="R21" i="127"/>
  <c r="Q20" i="127"/>
  <c r="Q21" i="127" s="1"/>
  <c r="P20" i="127"/>
  <c r="P119" i="127"/>
  <c r="P21" i="127" s="1"/>
  <c r="O119" i="127"/>
  <c r="O21" i="127" s="1"/>
  <c r="O20" i="127"/>
  <c r="N119" i="127"/>
  <c r="N20" i="127"/>
  <c r="N21" i="127"/>
  <c r="M119" i="127"/>
  <c r="M20" i="127"/>
  <c r="M21" i="127"/>
  <c r="L119" i="127"/>
  <c r="L21" i="127" s="1"/>
  <c r="L20" i="127"/>
  <c r="K119" i="127"/>
  <c r="K20" i="127"/>
  <c r="K21" i="127" s="1"/>
  <c r="CK21" i="127"/>
  <c r="CJ21" i="127"/>
  <c r="CI21" i="127"/>
  <c r="CH21" i="127"/>
  <c r="CF21" i="127"/>
  <c r="CE21" i="127"/>
  <c r="CD21" i="127"/>
  <c r="CC21" i="127"/>
  <c r="CB21" i="127"/>
  <c r="CA21" i="127"/>
  <c r="BZ21" i="127"/>
  <c r="BY21" i="127"/>
  <c r="BX21" i="127"/>
  <c r="BW21" i="127"/>
  <c r="BV21" i="127"/>
  <c r="BU21" i="127"/>
  <c r="BT21" i="127"/>
  <c r="BS21" i="127"/>
  <c r="BR21" i="127"/>
  <c r="BQ21" i="127"/>
  <c r="BP21" i="127"/>
  <c r="BO21" i="127"/>
  <c r="BN21" i="127"/>
  <c r="BM21" i="127"/>
  <c r="BL21" i="127"/>
  <c r="BK21" i="127"/>
  <c r="BJ21" i="127"/>
  <c r="BI21" i="127"/>
  <c r="BH21" i="127"/>
  <c r="BG21" i="127"/>
  <c r="BF21" i="127"/>
  <c r="BE21" i="127"/>
  <c r="BD21" i="127"/>
  <c r="BC21" i="127"/>
  <c r="BB21" i="127"/>
  <c r="BA21" i="127"/>
  <c r="AZ21" i="127"/>
  <c r="AY21" i="127"/>
  <c r="AW21" i="127"/>
  <c r="AX21" i="127"/>
  <c r="AV21" i="127"/>
  <c r="AU21" i="127"/>
  <c r="AE99" i="127"/>
  <c r="V99" i="127"/>
  <c r="C99" i="127"/>
  <c r="AE98" i="127"/>
  <c r="AE54" i="127" s="1"/>
  <c r="V98" i="127"/>
  <c r="B54" i="127"/>
  <c r="B53" i="127"/>
  <c r="C96" i="127"/>
  <c r="BS51" i="127"/>
  <c r="BL51" i="127"/>
  <c r="BK51" i="127"/>
  <c r="BJ51" i="127"/>
  <c r="BI51" i="127"/>
  <c r="BH51" i="127"/>
  <c r="BG51" i="127"/>
  <c r="BF51" i="127"/>
  <c r="BE51" i="127"/>
  <c r="BD51" i="127"/>
  <c r="BC51" i="127"/>
  <c r="U51" i="127" s="1"/>
  <c r="BB51" i="127"/>
  <c r="BA51" i="127"/>
  <c r="AZ51" i="127"/>
  <c r="AY51" i="127"/>
  <c r="AW51" i="127"/>
  <c r="N51" i="127" s="1"/>
  <c r="AV51" i="127"/>
  <c r="AU51" i="127"/>
  <c r="AX51" i="127"/>
  <c r="BQ51" i="127"/>
  <c r="BP51" i="127"/>
  <c r="AB51" i="127" s="1"/>
  <c r="BO51" i="127"/>
  <c r="BN51" i="127"/>
  <c r="BM51" i="127"/>
  <c r="BR51" i="127"/>
  <c r="BT51" i="127"/>
  <c r="BU51" i="127"/>
  <c r="BV51" i="127"/>
  <c r="BW51" i="127"/>
  <c r="BX51" i="127"/>
  <c r="C51" i="127"/>
  <c r="AE96" i="127"/>
  <c r="V96" i="127"/>
  <c r="R96" i="127"/>
  <c r="AE95" i="127"/>
  <c r="V95" i="127"/>
  <c r="R95" i="127"/>
  <c r="AE97" i="127"/>
  <c r="V97" i="127"/>
  <c r="R97" i="127"/>
  <c r="AS90" i="127"/>
  <c r="AS91" i="127"/>
  <c r="AS92" i="127"/>
  <c r="AS89" i="127"/>
  <c r="AE90" i="127"/>
  <c r="AE91" i="127"/>
  <c r="AE92" i="127"/>
  <c r="AE89" i="127"/>
  <c r="AA90" i="127"/>
  <c r="AA91" i="127"/>
  <c r="AA92" i="127"/>
  <c r="AA89" i="127"/>
  <c r="Y90" i="127"/>
  <c r="Y91" i="127"/>
  <c r="Y92" i="127"/>
  <c r="Y89" i="127"/>
  <c r="X90" i="127"/>
  <c r="X91" i="127"/>
  <c r="X92" i="127"/>
  <c r="X89" i="127"/>
  <c r="V90" i="127"/>
  <c r="V91" i="127"/>
  <c r="V92" i="127"/>
  <c r="V89" i="127"/>
  <c r="R90" i="127"/>
  <c r="R91" i="127"/>
  <c r="R92" i="127"/>
  <c r="R89" i="127"/>
  <c r="P90" i="127"/>
  <c r="P91" i="127"/>
  <c r="P92" i="127"/>
  <c r="P89" i="127"/>
  <c r="AR92" i="127"/>
  <c r="AQ92" i="127"/>
  <c r="AP92" i="127"/>
  <c r="AO92" i="127"/>
  <c r="AN92" i="127"/>
  <c r="AM92" i="127"/>
  <c r="AL92" i="127"/>
  <c r="AK92" i="127"/>
  <c r="AJ92" i="127"/>
  <c r="AI92" i="127"/>
  <c r="AH92" i="127"/>
  <c r="AG92" i="127"/>
  <c r="AF92" i="127"/>
  <c r="AD92" i="127"/>
  <c r="AC92" i="127"/>
  <c r="AB92" i="127"/>
  <c r="Z92" i="127"/>
  <c r="W92" i="127"/>
  <c r="U92" i="127"/>
  <c r="T92" i="127"/>
  <c r="S92" i="127"/>
  <c r="Q92" i="127"/>
  <c r="O92" i="127"/>
  <c r="N92" i="127"/>
  <c r="M92" i="127"/>
  <c r="L92" i="127"/>
  <c r="K92" i="127"/>
  <c r="AR91" i="127"/>
  <c r="AQ91" i="127"/>
  <c r="AP91" i="127"/>
  <c r="AO91" i="127"/>
  <c r="AN91" i="127"/>
  <c r="AM91" i="127"/>
  <c r="AL91" i="127"/>
  <c r="AK91" i="127"/>
  <c r="AJ91" i="127"/>
  <c r="AI91" i="127"/>
  <c r="AH91" i="127"/>
  <c r="AG91" i="127"/>
  <c r="AF91" i="127"/>
  <c r="AD91" i="127"/>
  <c r="AC91" i="127"/>
  <c r="AB91" i="127"/>
  <c r="Z91" i="127"/>
  <c r="W91" i="127"/>
  <c r="U91" i="127"/>
  <c r="T91" i="127"/>
  <c r="S91" i="127"/>
  <c r="Q91" i="127"/>
  <c r="O91" i="127"/>
  <c r="N91" i="127"/>
  <c r="M91" i="127"/>
  <c r="L91" i="127"/>
  <c r="K91" i="127"/>
  <c r="AR90" i="127"/>
  <c r="AQ90" i="127"/>
  <c r="AP90" i="127"/>
  <c r="AO90" i="127"/>
  <c r="AN90" i="127"/>
  <c r="AM90" i="127"/>
  <c r="AL90" i="127"/>
  <c r="AK90" i="127"/>
  <c r="AJ90" i="127"/>
  <c r="AI90" i="127"/>
  <c r="AH90" i="127"/>
  <c r="AG90" i="127"/>
  <c r="AF90" i="127"/>
  <c r="AD90" i="127"/>
  <c r="AC90" i="127"/>
  <c r="AB90" i="127"/>
  <c r="Z90" i="127"/>
  <c r="W90" i="127"/>
  <c r="U90" i="127"/>
  <c r="T90" i="127"/>
  <c r="S90" i="127"/>
  <c r="Q90" i="127"/>
  <c r="O90" i="127"/>
  <c r="N90" i="127"/>
  <c r="M90" i="127"/>
  <c r="L90" i="127"/>
  <c r="K90" i="127"/>
  <c r="AR89" i="127"/>
  <c r="AQ89" i="127"/>
  <c r="AP89" i="127"/>
  <c r="AO89" i="127"/>
  <c r="AN89" i="127"/>
  <c r="AM89" i="127"/>
  <c r="AL89" i="127"/>
  <c r="AK89" i="127"/>
  <c r="AJ89" i="127"/>
  <c r="AI89" i="127"/>
  <c r="AH89" i="127"/>
  <c r="AG89" i="127"/>
  <c r="AF89" i="127"/>
  <c r="AD89" i="127"/>
  <c r="AC89" i="127"/>
  <c r="AB89" i="127"/>
  <c r="Z89" i="127"/>
  <c r="W89" i="127"/>
  <c r="U89" i="127"/>
  <c r="T89" i="127"/>
  <c r="S89" i="127"/>
  <c r="Q89" i="127"/>
  <c r="O89" i="127"/>
  <c r="N89" i="127"/>
  <c r="M89" i="127"/>
  <c r="L89" i="127"/>
  <c r="K89" i="127"/>
  <c r="AS69" i="127"/>
  <c r="AS71" i="127" s="1"/>
  <c r="AS54" i="127"/>
  <c r="AS51" i="127"/>
  <c r="AS45" i="127"/>
  <c r="AS47" i="127" s="1"/>
  <c r="AS23" i="127"/>
  <c r="AS30" i="127" s="1"/>
  <c r="AS32" i="127"/>
  <c r="AS33" i="127"/>
  <c r="AS16" i="127"/>
  <c r="AS17" i="127"/>
  <c r="AS13" i="127"/>
  <c r="AS7" i="127"/>
  <c r="AS107" i="127"/>
  <c r="AR107" i="127"/>
  <c r="AQ107" i="127"/>
  <c r="AS106" i="127"/>
  <c r="AR106" i="127"/>
  <c r="AQ106" i="127"/>
  <c r="AS105" i="127"/>
  <c r="AR105" i="127"/>
  <c r="AQ105" i="127"/>
  <c r="AS104" i="127"/>
  <c r="AR104" i="127"/>
  <c r="AQ104" i="127"/>
  <c r="AS103" i="127"/>
  <c r="AR103" i="127"/>
  <c r="AQ103" i="127"/>
  <c r="AS102" i="127"/>
  <c r="AR102" i="127"/>
  <c r="AQ102" i="127"/>
  <c r="AS101" i="127"/>
  <c r="AR101" i="127"/>
  <c r="AQ101" i="127"/>
  <c r="AR98" i="127"/>
  <c r="AQ98" i="127"/>
  <c r="AR99" i="127"/>
  <c r="AQ99" i="127"/>
  <c r="AR96" i="127"/>
  <c r="AQ96" i="127"/>
  <c r="AR95" i="127"/>
  <c r="AQ95" i="127"/>
  <c r="AR97" i="127"/>
  <c r="AQ97" i="127"/>
  <c r="AS85" i="127"/>
  <c r="AR85" i="127"/>
  <c r="AQ85" i="127"/>
  <c r="AS84" i="127"/>
  <c r="AR84" i="127"/>
  <c r="AQ84" i="127"/>
  <c r="AS83" i="127"/>
  <c r="AR83" i="127"/>
  <c r="AQ83" i="127"/>
  <c r="CG82" i="127"/>
  <c r="CF82" i="127"/>
  <c r="AS82" i="127" s="1"/>
  <c r="CI82" i="127"/>
  <c r="AR82" i="127" s="1"/>
  <c r="CK82" i="127"/>
  <c r="AQ82" i="127"/>
  <c r="AS81" i="127"/>
  <c r="AR81" i="127"/>
  <c r="AQ81" i="127"/>
  <c r="AS80" i="127"/>
  <c r="AR80" i="127"/>
  <c r="AQ80" i="127"/>
  <c r="AS78" i="127"/>
  <c r="AR78" i="127"/>
  <c r="AQ78" i="127"/>
  <c r="AS77" i="127"/>
  <c r="AR77" i="127"/>
  <c r="AQ77" i="127"/>
  <c r="AS76" i="127"/>
  <c r="AR76" i="127"/>
  <c r="AQ76" i="127"/>
  <c r="AS75" i="127"/>
  <c r="AR75" i="127"/>
  <c r="AQ75" i="127"/>
  <c r="AS74" i="127"/>
  <c r="AR74" i="127"/>
  <c r="AQ74" i="127"/>
  <c r="AS73" i="127"/>
  <c r="AR73" i="127"/>
  <c r="AQ73" i="127"/>
  <c r="CI71" i="127"/>
  <c r="AR71" i="127" s="1"/>
  <c r="CK71" i="127"/>
  <c r="AQ71" i="127" s="1"/>
  <c r="AR70" i="127"/>
  <c r="AQ70" i="127"/>
  <c r="AR69" i="127"/>
  <c r="AQ69" i="127"/>
  <c r="AS61" i="127"/>
  <c r="AR61" i="127"/>
  <c r="AQ61" i="127"/>
  <c r="AS60" i="127"/>
  <c r="AR60" i="127"/>
  <c r="AQ60" i="127"/>
  <c r="AS63" i="127"/>
  <c r="AR63" i="127"/>
  <c r="AQ63" i="127"/>
  <c r="AS62" i="127"/>
  <c r="AR62" i="127"/>
  <c r="AQ62" i="127"/>
  <c r="AS59" i="127"/>
  <c r="AR59" i="127"/>
  <c r="AQ59" i="127"/>
  <c r="AS58" i="127"/>
  <c r="AR58" i="127"/>
  <c r="AQ58" i="127"/>
  <c r="AS57" i="127"/>
  <c r="AR57" i="127"/>
  <c r="AQ57" i="127"/>
  <c r="AS56" i="127"/>
  <c r="AR56" i="127"/>
  <c r="AQ56" i="127"/>
  <c r="AR54" i="127"/>
  <c r="AQ54" i="127"/>
  <c r="AR53" i="127"/>
  <c r="AR52" i="127"/>
  <c r="AR51" i="127"/>
  <c r="AQ51" i="127"/>
  <c r="AR50" i="127"/>
  <c r="AQ50" i="127"/>
  <c r="AR49" i="127"/>
  <c r="AQ49" i="127"/>
  <c r="AS48" i="127"/>
  <c r="AR48" i="127"/>
  <c r="AQ48" i="127"/>
  <c r="AR47" i="127"/>
  <c r="AQ47" i="127"/>
  <c r="AS46" i="127"/>
  <c r="AR46" i="127"/>
  <c r="AQ46" i="127"/>
  <c r="AR45" i="127"/>
  <c r="AQ45" i="127"/>
  <c r="AR44" i="127"/>
  <c r="AQ44" i="127"/>
  <c r="AR43" i="127"/>
  <c r="AQ43" i="127"/>
  <c r="AR42" i="127"/>
  <c r="AQ42" i="127"/>
  <c r="AS41" i="127"/>
  <c r="AR41" i="127"/>
  <c r="AQ41" i="127"/>
  <c r="AR39" i="127"/>
  <c r="AQ39" i="127"/>
  <c r="AS38" i="127"/>
  <c r="AR38" i="127"/>
  <c r="AQ38" i="127"/>
  <c r="AS37" i="127"/>
  <c r="AR37" i="127"/>
  <c r="AQ37" i="127"/>
  <c r="AS36" i="127"/>
  <c r="AR36" i="127"/>
  <c r="AQ36" i="127"/>
  <c r="CI33" i="127"/>
  <c r="AR33" i="127"/>
  <c r="CK33" i="127"/>
  <c r="AQ33" i="127"/>
  <c r="AR32" i="127"/>
  <c r="AQ32" i="127"/>
  <c r="AQ31" i="127"/>
  <c r="CI30" i="127"/>
  <c r="AR30" i="127" s="1"/>
  <c r="CK30" i="127"/>
  <c r="AQ30" i="127" s="1"/>
  <c r="AS29" i="127"/>
  <c r="AR29" i="127"/>
  <c r="AQ29" i="127"/>
  <c r="AS28" i="127"/>
  <c r="AR28" i="127"/>
  <c r="AQ28" i="127"/>
  <c r="AS26" i="127"/>
  <c r="AR26" i="127"/>
  <c r="AQ26" i="127"/>
  <c r="AS25" i="127"/>
  <c r="AR25" i="127"/>
  <c r="AQ25" i="127"/>
  <c r="AR24" i="127"/>
  <c r="AQ24" i="127"/>
  <c r="AR23" i="127"/>
  <c r="AQ23" i="127"/>
  <c r="AR17" i="127"/>
  <c r="AQ17" i="127"/>
  <c r="AS118" i="127"/>
  <c r="AR118" i="127"/>
  <c r="AQ118" i="127"/>
  <c r="AR16" i="127"/>
  <c r="AQ16" i="127"/>
  <c r="CI14" i="127"/>
  <c r="AR14" i="127"/>
  <c r="CK14" i="127"/>
  <c r="AQ14" i="127" s="1"/>
  <c r="AR13" i="127"/>
  <c r="AQ13" i="127"/>
  <c r="AS9" i="127"/>
  <c r="AR9" i="127"/>
  <c r="AQ9" i="127"/>
  <c r="AS12" i="127"/>
  <c r="AR12" i="127"/>
  <c r="AQ12" i="127"/>
  <c r="AS8" i="127"/>
  <c r="AR8" i="127"/>
  <c r="AQ8" i="127"/>
  <c r="AS11" i="127"/>
  <c r="AR11" i="127"/>
  <c r="AQ11" i="127"/>
  <c r="AS10" i="127"/>
  <c r="AR10" i="127"/>
  <c r="AQ10" i="127"/>
  <c r="AR7" i="127"/>
  <c r="AQ7" i="127"/>
  <c r="AP107" i="127"/>
  <c r="AO107" i="127"/>
  <c r="AN107" i="127"/>
  <c r="AM107" i="127"/>
  <c r="AP106" i="127"/>
  <c r="AO106" i="127"/>
  <c r="AN106" i="127"/>
  <c r="AM106" i="127"/>
  <c r="AP105" i="127"/>
  <c r="AO105" i="127"/>
  <c r="AN105" i="127"/>
  <c r="AM105" i="127"/>
  <c r="AP104" i="127"/>
  <c r="AO104" i="127"/>
  <c r="AN104" i="127"/>
  <c r="AM104" i="127"/>
  <c r="AP103" i="127"/>
  <c r="AO103" i="127"/>
  <c r="AN103" i="127"/>
  <c r="AM103" i="127"/>
  <c r="AP102" i="127"/>
  <c r="AO102" i="127"/>
  <c r="AN102" i="127"/>
  <c r="AM102" i="127"/>
  <c r="AP101" i="127"/>
  <c r="AO101" i="127"/>
  <c r="AN101" i="127"/>
  <c r="AM101" i="127"/>
  <c r="AP98" i="127"/>
  <c r="AO98" i="127"/>
  <c r="AN98" i="127"/>
  <c r="AM98" i="127"/>
  <c r="AP99" i="127"/>
  <c r="AO99" i="127"/>
  <c r="AN99" i="127"/>
  <c r="AM99" i="127"/>
  <c r="AP96" i="127"/>
  <c r="AO96" i="127"/>
  <c r="AN96" i="127"/>
  <c r="AM96" i="127"/>
  <c r="AP95" i="127"/>
  <c r="AO95" i="127"/>
  <c r="AN95" i="127"/>
  <c r="AM95" i="127"/>
  <c r="AP97" i="127"/>
  <c r="AO97" i="127"/>
  <c r="AN97" i="127"/>
  <c r="AM97" i="127"/>
  <c r="AP85" i="127"/>
  <c r="AO85" i="127"/>
  <c r="AN85" i="127"/>
  <c r="AM85" i="127"/>
  <c r="AP84" i="127"/>
  <c r="AO84" i="127"/>
  <c r="AN84" i="127"/>
  <c r="AM84" i="127"/>
  <c r="AP83" i="127"/>
  <c r="AO83" i="127"/>
  <c r="AN83" i="127"/>
  <c r="AM83" i="127"/>
  <c r="CD82" i="127"/>
  <c r="AP82" i="127" s="1"/>
  <c r="CC82" i="127"/>
  <c r="AO82" i="127" s="1"/>
  <c r="CJ82" i="127"/>
  <c r="AN82" i="127" s="1"/>
  <c r="CH82" i="127"/>
  <c r="AM82" i="127" s="1"/>
  <c r="AP81" i="127"/>
  <c r="AO81" i="127"/>
  <c r="AN81" i="127"/>
  <c r="AM81" i="127"/>
  <c r="AP80" i="127"/>
  <c r="AO80" i="127"/>
  <c r="AN80" i="127"/>
  <c r="AM80" i="127"/>
  <c r="AP78" i="127"/>
  <c r="AO78" i="127"/>
  <c r="AN78" i="127"/>
  <c r="AM78" i="127"/>
  <c r="AP77" i="127"/>
  <c r="AO77" i="127"/>
  <c r="AN77" i="127"/>
  <c r="AM77" i="127"/>
  <c r="AP76" i="127"/>
  <c r="AO76" i="127"/>
  <c r="AN76" i="127"/>
  <c r="AM76" i="127"/>
  <c r="AP75" i="127"/>
  <c r="AO75" i="127"/>
  <c r="AN75" i="127"/>
  <c r="AM75" i="127"/>
  <c r="AP74" i="127"/>
  <c r="AO74" i="127"/>
  <c r="AN74" i="127"/>
  <c r="AM74" i="127"/>
  <c r="AP73" i="127"/>
  <c r="AO73" i="127"/>
  <c r="AN73" i="127"/>
  <c r="AM73" i="127"/>
  <c r="CD71" i="127"/>
  <c r="AP71" i="127" s="1"/>
  <c r="CC71" i="127"/>
  <c r="AO71" i="127" s="1"/>
  <c r="CJ71" i="127"/>
  <c r="AN71" i="127" s="1"/>
  <c r="CH71" i="127"/>
  <c r="AM71" i="127" s="1"/>
  <c r="AP70" i="127"/>
  <c r="AO70" i="127"/>
  <c r="AN70" i="127"/>
  <c r="AM70" i="127"/>
  <c r="AP69" i="127"/>
  <c r="AO69" i="127"/>
  <c r="AN69" i="127"/>
  <c r="AM69" i="127"/>
  <c r="AP61" i="127"/>
  <c r="AO61" i="127"/>
  <c r="AN61" i="127"/>
  <c r="AM61" i="127"/>
  <c r="AP60" i="127"/>
  <c r="AO60" i="127"/>
  <c r="AN60" i="127"/>
  <c r="AM60" i="127"/>
  <c r="AP63" i="127"/>
  <c r="AO63" i="127"/>
  <c r="AN63" i="127"/>
  <c r="AM63" i="127"/>
  <c r="AP62" i="127"/>
  <c r="AO62" i="127"/>
  <c r="AN62" i="127"/>
  <c r="AM62" i="127"/>
  <c r="AP59" i="127"/>
  <c r="AO59" i="127"/>
  <c r="AN59" i="127"/>
  <c r="AM59" i="127"/>
  <c r="AP58" i="127"/>
  <c r="AO58" i="127"/>
  <c r="AN58" i="127"/>
  <c r="AM58" i="127"/>
  <c r="AP57" i="127"/>
  <c r="AO57" i="127"/>
  <c r="AN57" i="127"/>
  <c r="AM57" i="127"/>
  <c r="AP56" i="127"/>
  <c r="AO56" i="127"/>
  <c r="AN56" i="127"/>
  <c r="AM56" i="127"/>
  <c r="AP54" i="127"/>
  <c r="AO54" i="127"/>
  <c r="AN54" i="127"/>
  <c r="AP53" i="127"/>
  <c r="AN53" i="127"/>
  <c r="AP52" i="127"/>
  <c r="AN52" i="127"/>
  <c r="AP51" i="127"/>
  <c r="AO51" i="127"/>
  <c r="AM51" i="127"/>
  <c r="AP50" i="127"/>
  <c r="AO50" i="127"/>
  <c r="AN50" i="127"/>
  <c r="AM50" i="127"/>
  <c r="AP49" i="127"/>
  <c r="AO49" i="127"/>
  <c r="AN49" i="127"/>
  <c r="AM49" i="127"/>
  <c r="AP48" i="127"/>
  <c r="AO48" i="127"/>
  <c r="AN48" i="127"/>
  <c r="AM48" i="127"/>
  <c r="AP47" i="127"/>
  <c r="AO47" i="127"/>
  <c r="AN47" i="127"/>
  <c r="AM47" i="127"/>
  <c r="AP46" i="127"/>
  <c r="AO46" i="127"/>
  <c r="AN46" i="127"/>
  <c r="AM46" i="127"/>
  <c r="AP45" i="127"/>
  <c r="AO45" i="127"/>
  <c r="AN45" i="127"/>
  <c r="AM45" i="127"/>
  <c r="AP44" i="127"/>
  <c r="AO44" i="127"/>
  <c r="AN44" i="127"/>
  <c r="AM44" i="127"/>
  <c r="AP43" i="127"/>
  <c r="AO43" i="127"/>
  <c r="AN43" i="127"/>
  <c r="AM43" i="127"/>
  <c r="AP42" i="127"/>
  <c r="AO42" i="127"/>
  <c r="AN42" i="127"/>
  <c r="AM42" i="127"/>
  <c r="AP41" i="127"/>
  <c r="AO41" i="127"/>
  <c r="AN41" i="127"/>
  <c r="AM41" i="127"/>
  <c r="AP39" i="127"/>
  <c r="AO39" i="127"/>
  <c r="AN39" i="127"/>
  <c r="AM39" i="127"/>
  <c r="AP38" i="127"/>
  <c r="AO38" i="127"/>
  <c r="AN38" i="127"/>
  <c r="AM38" i="127"/>
  <c r="AP37" i="127"/>
  <c r="AO37" i="127"/>
  <c r="AN37" i="127"/>
  <c r="AM37" i="127"/>
  <c r="AP36" i="127"/>
  <c r="AO36" i="127"/>
  <c r="AN36" i="127"/>
  <c r="AM36" i="127"/>
  <c r="CD33" i="127"/>
  <c r="AP33" i="127"/>
  <c r="CC33" i="127"/>
  <c r="AO33" i="127"/>
  <c r="CJ33" i="127"/>
  <c r="AN33" i="127" s="1"/>
  <c r="CH33" i="127"/>
  <c r="AM33" i="127" s="1"/>
  <c r="AP32" i="127"/>
  <c r="AO32" i="127"/>
  <c r="AN32" i="127"/>
  <c r="AM32" i="127"/>
  <c r="CD30" i="127"/>
  <c r="AP30" i="127" s="1"/>
  <c r="CC30" i="127"/>
  <c r="AO30" i="127"/>
  <c r="CJ30" i="127"/>
  <c r="AN30" i="127"/>
  <c r="CH30" i="127"/>
  <c r="AM30" i="127" s="1"/>
  <c r="AP29" i="127"/>
  <c r="AO29" i="127"/>
  <c r="AN29" i="127"/>
  <c r="AM29" i="127"/>
  <c r="AP28" i="127"/>
  <c r="AO28" i="127"/>
  <c r="AN28" i="127"/>
  <c r="AP26" i="127"/>
  <c r="AN26" i="127"/>
  <c r="AM26" i="127"/>
  <c r="AP25" i="127"/>
  <c r="AO25" i="127"/>
  <c r="AN25" i="127"/>
  <c r="AM25" i="127"/>
  <c r="AO24" i="127"/>
  <c r="AN24" i="127"/>
  <c r="AM24" i="127"/>
  <c r="AP23" i="127"/>
  <c r="AO23" i="127"/>
  <c r="AN23" i="127"/>
  <c r="AM23" i="127"/>
  <c r="AP17" i="127"/>
  <c r="AO17" i="127"/>
  <c r="AN17" i="127"/>
  <c r="AM17" i="127"/>
  <c r="AP118" i="127"/>
  <c r="AO118" i="127"/>
  <c r="AN118" i="127"/>
  <c r="AM118" i="127"/>
  <c r="AP16" i="127"/>
  <c r="AO16" i="127"/>
  <c r="AN16" i="127"/>
  <c r="AM16" i="127"/>
  <c r="CD14" i="127"/>
  <c r="AP14" i="127" s="1"/>
  <c r="CC14" i="127"/>
  <c r="AO14" i="127"/>
  <c r="CJ14" i="127"/>
  <c r="AN14" i="127" s="1"/>
  <c r="CH14" i="127"/>
  <c r="AM14" i="127" s="1"/>
  <c r="AP13" i="127"/>
  <c r="AO13" i="127"/>
  <c r="AN13" i="127"/>
  <c r="AM13" i="127"/>
  <c r="AP9" i="127"/>
  <c r="AO9" i="127"/>
  <c r="AN9" i="127"/>
  <c r="AM9" i="127"/>
  <c r="AP12" i="127"/>
  <c r="AO12" i="127"/>
  <c r="AN12" i="127"/>
  <c r="AM12" i="127"/>
  <c r="AP8" i="127"/>
  <c r="AO8" i="127"/>
  <c r="AN8" i="127"/>
  <c r="AM8" i="127"/>
  <c r="AP11" i="127"/>
  <c r="AO11" i="127"/>
  <c r="AN11" i="127"/>
  <c r="AM11" i="127"/>
  <c r="AP10" i="127"/>
  <c r="AO10" i="127"/>
  <c r="AN10" i="127"/>
  <c r="AM10" i="127"/>
  <c r="AP7" i="127"/>
  <c r="AO7" i="127"/>
  <c r="AN7" i="127"/>
  <c r="AM7" i="127"/>
  <c r="AL107" i="127"/>
  <c r="AK107" i="127"/>
  <c r="AJ107" i="127"/>
  <c r="AL106" i="127"/>
  <c r="AK106" i="127"/>
  <c r="AJ106" i="127"/>
  <c r="AL105" i="127"/>
  <c r="AK105" i="127"/>
  <c r="AJ105" i="127"/>
  <c r="AL104" i="127"/>
  <c r="AK104" i="127"/>
  <c r="AJ104" i="127"/>
  <c r="AL103" i="127"/>
  <c r="AK103" i="127"/>
  <c r="AJ103" i="127"/>
  <c r="AL102" i="127"/>
  <c r="AK102" i="127"/>
  <c r="AJ102" i="127"/>
  <c r="AL101" i="127"/>
  <c r="AK101" i="127"/>
  <c r="AJ101" i="127"/>
  <c r="AL98" i="127"/>
  <c r="AK98" i="127"/>
  <c r="AJ98" i="127"/>
  <c r="AL99" i="127"/>
  <c r="AK99" i="127"/>
  <c r="AJ99" i="127"/>
  <c r="AL96" i="127"/>
  <c r="AK96" i="127"/>
  <c r="AJ96" i="127"/>
  <c r="AL95" i="127"/>
  <c r="AK95" i="127"/>
  <c r="AJ95" i="127"/>
  <c r="AL97" i="127"/>
  <c r="AK97" i="127"/>
  <c r="AJ97" i="127"/>
  <c r="AL85" i="127"/>
  <c r="AK85" i="127"/>
  <c r="AJ85" i="127"/>
  <c r="AL84" i="127"/>
  <c r="AK84" i="127"/>
  <c r="AJ84" i="127"/>
  <c r="AL83" i="127"/>
  <c r="AK83" i="127"/>
  <c r="AJ83" i="127"/>
  <c r="CE82" i="127"/>
  <c r="AL82" i="127" s="1"/>
  <c r="CB82" i="127"/>
  <c r="AK82" i="127"/>
  <c r="BY82" i="127"/>
  <c r="AJ82" i="127"/>
  <c r="AL81" i="127"/>
  <c r="AK81" i="127"/>
  <c r="AJ81" i="127"/>
  <c r="AL80" i="127"/>
  <c r="AK80" i="127"/>
  <c r="AJ80" i="127"/>
  <c r="AL78" i="127"/>
  <c r="AK78" i="127"/>
  <c r="AJ78" i="127"/>
  <c r="AL77" i="127"/>
  <c r="AK77" i="127"/>
  <c r="AJ77" i="127"/>
  <c r="AL76" i="127"/>
  <c r="AK76" i="127"/>
  <c r="AJ76" i="127"/>
  <c r="AL75" i="127"/>
  <c r="AK75" i="127"/>
  <c r="AJ75" i="127"/>
  <c r="AL74" i="127"/>
  <c r="AK74" i="127"/>
  <c r="AJ74" i="127"/>
  <c r="AL73" i="127"/>
  <c r="AK73" i="127"/>
  <c r="AJ73" i="127"/>
  <c r="CE71" i="127"/>
  <c r="AL71" i="127" s="1"/>
  <c r="CB71" i="127"/>
  <c r="AK71" i="127"/>
  <c r="BY71" i="127"/>
  <c r="AJ71" i="127"/>
  <c r="AL70" i="127"/>
  <c r="AK70" i="127"/>
  <c r="AJ70" i="127"/>
  <c r="AL69" i="127"/>
  <c r="AK69" i="127"/>
  <c r="AJ69" i="127"/>
  <c r="AL61" i="127"/>
  <c r="AK61" i="127"/>
  <c r="AJ61" i="127"/>
  <c r="AL60" i="127"/>
  <c r="AK60" i="127"/>
  <c r="AJ60" i="127"/>
  <c r="AL63" i="127"/>
  <c r="AK63" i="127"/>
  <c r="AJ63" i="127"/>
  <c r="AL62" i="127"/>
  <c r="AK62" i="127"/>
  <c r="AJ62" i="127"/>
  <c r="AL59" i="127"/>
  <c r="AK59" i="127"/>
  <c r="AJ59" i="127"/>
  <c r="AL58" i="127"/>
  <c r="AK58" i="127"/>
  <c r="AJ58" i="127"/>
  <c r="AL57" i="127"/>
  <c r="AK57" i="127"/>
  <c r="AJ57" i="127"/>
  <c r="AL56" i="127"/>
  <c r="AK56" i="127"/>
  <c r="AJ56" i="127"/>
  <c r="AL54" i="127"/>
  <c r="AK54" i="127"/>
  <c r="AJ54" i="127"/>
  <c r="AL53" i="127"/>
  <c r="AJ53" i="127"/>
  <c r="AL52" i="127"/>
  <c r="AK52" i="127"/>
  <c r="AJ52" i="127"/>
  <c r="AJ51" i="127"/>
  <c r="AL50" i="127"/>
  <c r="AK50" i="127"/>
  <c r="AJ50" i="127"/>
  <c r="AL49" i="127"/>
  <c r="AK49" i="127"/>
  <c r="AJ49" i="127"/>
  <c r="AL48" i="127"/>
  <c r="AK48" i="127"/>
  <c r="AJ48" i="127"/>
  <c r="AL47" i="127"/>
  <c r="AK47" i="127"/>
  <c r="AJ47" i="127"/>
  <c r="AL46" i="127"/>
  <c r="AK46" i="127"/>
  <c r="AJ46" i="127"/>
  <c r="AL45" i="127"/>
  <c r="AK45" i="127"/>
  <c r="AJ45" i="127"/>
  <c r="AL44" i="127"/>
  <c r="AJ44" i="127"/>
  <c r="AL43" i="127"/>
  <c r="AK43" i="127"/>
  <c r="AJ43" i="127"/>
  <c r="AL42" i="127"/>
  <c r="AK42" i="127"/>
  <c r="AJ42" i="127"/>
  <c r="AL41" i="127"/>
  <c r="AK41" i="127"/>
  <c r="AJ41" i="127"/>
  <c r="AL39" i="127"/>
  <c r="AK39" i="127"/>
  <c r="AJ39" i="127"/>
  <c r="AL38" i="127"/>
  <c r="AK38" i="127"/>
  <c r="AJ38" i="127"/>
  <c r="AL37" i="127"/>
  <c r="AK37" i="127"/>
  <c r="AJ37" i="127"/>
  <c r="AL36" i="127"/>
  <c r="AK36" i="127"/>
  <c r="AJ36" i="127"/>
  <c r="CE33" i="127"/>
  <c r="AL33" i="127" s="1"/>
  <c r="CB33" i="127"/>
  <c r="AK33" i="127"/>
  <c r="BY33" i="127"/>
  <c r="AJ33" i="127"/>
  <c r="AL32" i="127"/>
  <c r="AK32" i="127"/>
  <c r="AJ32" i="127"/>
  <c r="AL31" i="127"/>
  <c r="CE30" i="127"/>
  <c r="AL30" i="127"/>
  <c r="CB30" i="127"/>
  <c r="AK30" i="127"/>
  <c r="BY30" i="127"/>
  <c r="AJ30" i="127"/>
  <c r="AL29" i="127"/>
  <c r="AK29" i="127"/>
  <c r="AJ29" i="127"/>
  <c r="AL28" i="127"/>
  <c r="AK28" i="127"/>
  <c r="AJ28" i="127"/>
  <c r="AL26" i="127"/>
  <c r="AK26" i="127"/>
  <c r="AL25" i="127"/>
  <c r="AK25" i="127"/>
  <c r="AJ25" i="127"/>
  <c r="AL24" i="127"/>
  <c r="AK24" i="127"/>
  <c r="AL23" i="127"/>
  <c r="AK23" i="127"/>
  <c r="AJ23" i="127"/>
  <c r="AL17" i="127"/>
  <c r="AK17" i="127"/>
  <c r="AJ17" i="127"/>
  <c r="AL118" i="127"/>
  <c r="AK118" i="127"/>
  <c r="AJ118" i="127"/>
  <c r="AL16" i="127"/>
  <c r="AK16" i="127"/>
  <c r="AJ16" i="127"/>
  <c r="CE14" i="127"/>
  <c r="AL14" i="127" s="1"/>
  <c r="CB14" i="127"/>
  <c r="AK14" i="127"/>
  <c r="BY14" i="127"/>
  <c r="AJ14" i="127"/>
  <c r="AL13" i="127"/>
  <c r="AK13" i="127"/>
  <c r="AJ13" i="127"/>
  <c r="AL9" i="127"/>
  <c r="AK9" i="127"/>
  <c r="AJ9" i="127"/>
  <c r="AL12" i="127"/>
  <c r="AK12" i="127"/>
  <c r="AJ12" i="127"/>
  <c r="AL8" i="127"/>
  <c r="AK8" i="127"/>
  <c r="AJ8" i="127"/>
  <c r="AL11" i="127"/>
  <c r="AK11" i="127"/>
  <c r="AJ11" i="127"/>
  <c r="AL10" i="127"/>
  <c r="AK10" i="127"/>
  <c r="AJ10" i="127"/>
  <c r="AL7" i="127"/>
  <c r="AK7" i="127"/>
  <c r="AJ7" i="127"/>
  <c r="AI107" i="127"/>
  <c r="AH107" i="127"/>
  <c r="AG107" i="127"/>
  <c r="AF107" i="127"/>
  <c r="AI106" i="127"/>
  <c r="AH106" i="127"/>
  <c r="AG106" i="127"/>
  <c r="AF106" i="127"/>
  <c r="AI105" i="127"/>
  <c r="AH105" i="127"/>
  <c r="AG105" i="127"/>
  <c r="AF105" i="127"/>
  <c r="AI104" i="127"/>
  <c r="AH104" i="127"/>
  <c r="AG104" i="127"/>
  <c r="AF104" i="127"/>
  <c r="AI103" i="127"/>
  <c r="AH103" i="127"/>
  <c r="AG103" i="127"/>
  <c r="AF103" i="127"/>
  <c r="AI102" i="127"/>
  <c r="AH102" i="127"/>
  <c r="AG102" i="127"/>
  <c r="AF102" i="127"/>
  <c r="AI101" i="127"/>
  <c r="AH101" i="127"/>
  <c r="AG101" i="127"/>
  <c r="AF101" i="127"/>
  <c r="AI98" i="127"/>
  <c r="AH98" i="127"/>
  <c r="AG98" i="127"/>
  <c r="AF98" i="127"/>
  <c r="AI99" i="127"/>
  <c r="AH99" i="127"/>
  <c r="AG99" i="127"/>
  <c r="AF99" i="127"/>
  <c r="AI96" i="127"/>
  <c r="AH96" i="127"/>
  <c r="AG96" i="127"/>
  <c r="AF96" i="127"/>
  <c r="AI95" i="127"/>
  <c r="AH95" i="127"/>
  <c r="AG95" i="127"/>
  <c r="AF95" i="127"/>
  <c r="AI97" i="127"/>
  <c r="AH97" i="127"/>
  <c r="AG97" i="127"/>
  <c r="AF97" i="127"/>
  <c r="AI85" i="127"/>
  <c r="AH85" i="127"/>
  <c r="AG85" i="127"/>
  <c r="AF85" i="127"/>
  <c r="AI84" i="127"/>
  <c r="AH84" i="127"/>
  <c r="AG84" i="127"/>
  <c r="AF84" i="127"/>
  <c r="AI83" i="127"/>
  <c r="AH83" i="127"/>
  <c r="AG83" i="127"/>
  <c r="AF83" i="127"/>
  <c r="BW82" i="127"/>
  <c r="AI82" i="127"/>
  <c r="BZ82" i="127"/>
  <c r="AH82" i="127"/>
  <c r="BV82" i="127"/>
  <c r="AG82" i="127"/>
  <c r="CA82" i="127"/>
  <c r="AF82" i="127" s="1"/>
  <c r="AI81" i="127"/>
  <c r="AH81" i="127"/>
  <c r="AG81" i="127"/>
  <c r="AF81" i="127"/>
  <c r="AI80" i="127"/>
  <c r="AH80" i="127"/>
  <c r="AG80" i="127"/>
  <c r="AF80" i="127"/>
  <c r="AI78" i="127"/>
  <c r="AH78" i="127"/>
  <c r="AG78" i="127"/>
  <c r="AF78" i="127"/>
  <c r="AI77" i="127"/>
  <c r="AH77" i="127"/>
  <c r="AG77" i="127"/>
  <c r="AF77" i="127"/>
  <c r="AI76" i="127"/>
  <c r="AH76" i="127"/>
  <c r="AG76" i="127"/>
  <c r="AF76" i="127"/>
  <c r="AI75" i="127"/>
  <c r="AH75" i="127"/>
  <c r="AG75" i="127"/>
  <c r="AF75" i="127"/>
  <c r="AI74" i="127"/>
  <c r="AH74" i="127"/>
  <c r="AG74" i="127"/>
  <c r="AF74" i="127"/>
  <c r="AI73" i="127"/>
  <c r="AH73" i="127"/>
  <c r="AG73" i="127"/>
  <c r="AF73" i="127"/>
  <c r="BW71" i="127"/>
  <c r="AI71" i="127"/>
  <c r="BZ71" i="127"/>
  <c r="AH71" i="127"/>
  <c r="BV71" i="127"/>
  <c r="AG71" i="127"/>
  <c r="CA71" i="127"/>
  <c r="AF71" i="127" s="1"/>
  <c r="AI70" i="127"/>
  <c r="AH70" i="127"/>
  <c r="AG70" i="127"/>
  <c r="AF70" i="127"/>
  <c r="AI69" i="127"/>
  <c r="AH69" i="127"/>
  <c r="AG69" i="127"/>
  <c r="AF69" i="127"/>
  <c r="AI61" i="127"/>
  <c r="AH61" i="127"/>
  <c r="AG61" i="127"/>
  <c r="AF61" i="127"/>
  <c r="AI60" i="127"/>
  <c r="AH60" i="127"/>
  <c r="AG60" i="127"/>
  <c r="AF60" i="127"/>
  <c r="AI63" i="127"/>
  <c r="AH63" i="127"/>
  <c r="AG63" i="127"/>
  <c r="AF63" i="127"/>
  <c r="AI62" i="127"/>
  <c r="AH62" i="127"/>
  <c r="AG62" i="127"/>
  <c r="AF62" i="127"/>
  <c r="AI59" i="127"/>
  <c r="AH59" i="127"/>
  <c r="AG59" i="127"/>
  <c r="AF59" i="127"/>
  <c r="AI58" i="127"/>
  <c r="AH58" i="127"/>
  <c r="AG58" i="127"/>
  <c r="AF58" i="127"/>
  <c r="AI57" i="127"/>
  <c r="AH57" i="127"/>
  <c r="AG57" i="127"/>
  <c r="AF57" i="127"/>
  <c r="AI56" i="127"/>
  <c r="AH56" i="127"/>
  <c r="AG56" i="127"/>
  <c r="AF56" i="127"/>
  <c r="AI54" i="127"/>
  <c r="AH54" i="127"/>
  <c r="AG54" i="127"/>
  <c r="AF54" i="127"/>
  <c r="AH53" i="127"/>
  <c r="AI52" i="127"/>
  <c r="AH52" i="127"/>
  <c r="AG52" i="127"/>
  <c r="AF52" i="127"/>
  <c r="AI51" i="127"/>
  <c r="AH51" i="127"/>
  <c r="AG51" i="127"/>
  <c r="AF51" i="127"/>
  <c r="AI50" i="127"/>
  <c r="AH50" i="127"/>
  <c r="AG50" i="127"/>
  <c r="AF50" i="127"/>
  <c r="AI49" i="127"/>
  <c r="AH49" i="127"/>
  <c r="AG49" i="127"/>
  <c r="AF49" i="127"/>
  <c r="AI48" i="127"/>
  <c r="AH48" i="127"/>
  <c r="AG48" i="127"/>
  <c r="AF48" i="127"/>
  <c r="AI47" i="127"/>
  <c r="AH47" i="127"/>
  <c r="AG47" i="127"/>
  <c r="AF47" i="127"/>
  <c r="AI46" i="127"/>
  <c r="AH46" i="127"/>
  <c r="AG46" i="127"/>
  <c r="AF46" i="127"/>
  <c r="AI45" i="127"/>
  <c r="AH45" i="127"/>
  <c r="AG45" i="127"/>
  <c r="AF45" i="127"/>
  <c r="AH44" i="127"/>
  <c r="AG44" i="127"/>
  <c r="AF44" i="127"/>
  <c r="AI43" i="127"/>
  <c r="AH43" i="127"/>
  <c r="AG43" i="127"/>
  <c r="AF43" i="127"/>
  <c r="AI42" i="127"/>
  <c r="AH42" i="127"/>
  <c r="AG42" i="127"/>
  <c r="AF42" i="127"/>
  <c r="AI41" i="127"/>
  <c r="AH41" i="127"/>
  <c r="AG41" i="127"/>
  <c r="AF41" i="127"/>
  <c r="AI39" i="127"/>
  <c r="AH39" i="127"/>
  <c r="AG39" i="127"/>
  <c r="AF39" i="127"/>
  <c r="AI38" i="127"/>
  <c r="AH38" i="127"/>
  <c r="AG38" i="127"/>
  <c r="AF38" i="127"/>
  <c r="AI37" i="127"/>
  <c r="AH37" i="127"/>
  <c r="AG37" i="127"/>
  <c r="AF37" i="127"/>
  <c r="AI36" i="127"/>
  <c r="AH36" i="127"/>
  <c r="AG36" i="127"/>
  <c r="AF36" i="127"/>
  <c r="BW33" i="127"/>
  <c r="AI33" i="127"/>
  <c r="BZ33" i="127"/>
  <c r="AH33" i="127"/>
  <c r="BV33" i="127"/>
  <c r="AG33" i="127"/>
  <c r="CA33" i="127"/>
  <c r="AF33" i="127" s="1"/>
  <c r="AI32" i="127"/>
  <c r="AH32" i="127"/>
  <c r="AG32" i="127"/>
  <c r="AF32" i="127"/>
  <c r="AH31" i="127"/>
  <c r="AG31" i="127"/>
  <c r="AF31" i="127"/>
  <c r="BW30" i="127"/>
  <c r="AI30" i="127" s="1"/>
  <c r="BZ30" i="127"/>
  <c r="AH30" i="127" s="1"/>
  <c r="BV30" i="127"/>
  <c r="AG30" i="127"/>
  <c r="CA30" i="127"/>
  <c r="AF30" i="127" s="1"/>
  <c r="AI29" i="127"/>
  <c r="AH29" i="127"/>
  <c r="AG29" i="127"/>
  <c r="AF29" i="127"/>
  <c r="AI28" i="127"/>
  <c r="AG28" i="127"/>
  <c r="AF28" i="127"/>
  <c r="AI26" i="127"/>
  <c r="AH26" i="127"/>
  <c r="AG26" i="127"/>
  <c r="AF26" i="127"/>
  <c r="AI25" i="127"/>
  <c r="AH25" i="127"/>
  <c r="AG25" i="127"/>
  <c r="AF25" i="127"/>
  <c r="AI24" i="127"/>
  <c r="AH24" i="127"/>
  <c r="AG24" i="127"/>
  <c r="AF24" i="127"/>
  <c r="AI23" i="127"/>
  <c r="AH23" i="127"/>
  <c r="AG23" i="127"/>
  <c r="AF23" i="127"/>
  <c r="AI17" i="127"/>
  <c r="AH17" i="127"/>
  <c r="AG17" i="127"/>
  <c r="AF17" i="127"/>
  <c r="AI118" i="127"/>
  <c r="AH118" i="127"/>
  <c r="AG118" i="127"/>
  <c r="AF118" i="127"/>
  <c r="AI16" i="127"/>
  <c r="AH16" i="127"/>
  <c r="AG16" i="127"/>
  <c r="AF16" i="127"/>
  <c r="BW14" i="127"/>
  <c r="AI14" i="127"/>
  <c r="BZ14" i="127"/>
  <c r="AH14" i="127" s="1"/>
  <c r="BV14" i="127"/>
  <c r="AG14" i="127"/>
  <c r="CA14" i="127"/>
  <c r="AF14" i="127" s="1"/>
  <c r="AI13" i="127"/>
  <c r="AH13" i="127"/>
  <c r="AG13" i="127"/>
  <c r="AF13" i="127"/>
  <c r="AI9" i="127"/>
  <c r="AH9" i="127"/>
  <c r="AG9" i="127"/>
  <c r="AF9" i="127"/>
  <c r="AI12" i="127"/>
  <c r="AH12" i="127"/>
  <c r="AG12" i="127"/>
  <c r="AF12" i="127"/>
  <c r="AI8" i="127"/>
  <c r="AH8" i="127"/>
  <c r="AG8" i="127"/>
  <c r="AF8" i="127"/>
  <c r="AI11" i="127"/>
  <c r="AH11" i="127"/>
  <c r="AG11" i="127"/>
  <c r="AF11" i="127"/>
  <c r="AI10" i="127"/>
  <c r="AH10" i="127"/>
  <c r="AG10" i="127"/>
  <c r="AF10" i="127"/>
  <c r="AI7" i="127"/>
  <c r="AH7" i="127"/>
  <c r="AG7" i="127"/>
  <c r="AF7" i="127"/>
  <c r="AE69" i="127"/>
  <c r="AE71" i="127" s="1"/>
  <c r="AE70" i="127"/>
  <c r="AE51" i="127"/>
  <c r="AE45" i="127"/>
  <c r="AE47" i="127"/>
  <c r="AE42" i="127"/>
  <c r="AE44" i="127"/>
  <c r="AE23" i="127"/>
  <c r="AE16" i="127"/>
  <c r="AE17" i="127" s="1"/>
  <c r="AE13" i="127"/>
  <c r="AE14" i="127" s="1"/>
  <c r="AE7" i="127"/>
  <c r="AE107" i="127"/>
  <c r="AE106" i="127"/>
  <c r="AE105" i="127"/>
  <c r="AE104" i="127"/>
  <c r="AE103" i="127"/>
  <c r="AE102" i="127"/>
  <c r="AE101" i="127"/>
  <c r="AE85" i="127"/>
  <c r="AE84" i="127"/>
  <c r="AE83" i="127"/>
  <c r="BT82" i="127"/>
  <c r="BS82" i="127"/>
  <c r="AE81" i="127"/>
  <c r="AE80" i="127"/>
  <c r="AE78" i="127"/>
  <c r="AE77" i="127"/>
  <c r="AE76" i="127"/>
  <c r="AE75" i="127"/>
  <c r="AE74" i="127"/>
  <c r="AE73" i="127"/>
  <c r="AE61" i="127"/>
  <c r="AE60" i="127"/>
  <c r="AE63" i="127"/>
  <c r="AE62" i="127"/>
  <c r="AE59" i="127"/>
  <c r="AE58" i="127"/>
  <c r="AE57" i="127"/>
  <c r="AE56" i="127"/>
  <c r="AE49" i="127"/>
  <c r="AE48" i="127"/>
  <c r="AE43" i="127"/>
  <c r="AE41" i="127"/>
  <c r="AE38" i="127"/>
  <c r="AE37" i="127"/>
  <c r="AE36" i="127"/>
  <c r="AE29" i="127"/>
  <c r="AE28" i="127"/>
  <c r="AE26" i="127"/>
  <c r="AE25" i="127"/>
  <c r="AE24" i="127"/>
  <c r="AE118" i="127"/>
  <c r="AE9" i="127"/>
  <c r="AE12" i="127"/>
  <c r="AE8" i="127"/>
  <c r="AE11" i="127"/>
  <c r="AE10" i="127"/>
  <c r="AD107" i="127"/>
  <c r="AC107" i="127"/>
  <c r="AB107" i="127"/>
  <c r="AD106" i="127"/>
  <c r="AC106" i="127"/>
  <c r="AB106" i="127"/>
  <c r="AD105" i="127"/>
  <c r="AC105" i="127"/>
  <c r="AB105" i="127"/>
  <c r="AD104" i="127"/>
  <c r="AC104" i="127"/>
  <c r="AB104" i="127"/>
  <c r="AD103" i="127"/>
  <c r="AC103" i="127"/>
  <c r="AB103" i="127"/>
  <c r="AD102" i="127"/>
  <c r="AC102" i="127"/>
  <c r="AB102" i="127"/>
  <c r="AD101" i="127"/>
  <c r="AC101" i="127"/>
  <c r="AB101" i="127"/>
  <c r="AD98" i="127"/>
  <c r="AC98" i="127"/>
  <c r="AB98" i="127"/>
  <c r="AD99" i="127"/>
  <c r="AC99" i="127"/>
  <c r="AB99" i="127"/>
  <c r="AD96" i="127"/>
  <c r="AC96" i="127"/>
  <c r="AB96" i="127"/>
  <c r="AD95" i="127"/>
  <c r="AC95" i="127"/>
  <c r="AB95" i="127"/>
  <c r="AD97" i="127"/>
  <c r="AC97" i="127"/>
  <c r="AB97" i="127"/>
  <c r="AD85" i="127"/>
  <c r="AC85" i="127"/>
  <c r="AB85" i="127"/>
  <c r="AD84" i="127"/>
  <c r="AC84" i="127"/>
  <c r="AB84" i="127"/>
  <c r="AD83" i="127"/>
  <c r="AC83" i="127"/>
  <c r="AB83" i="127"/>
  <c r="BU82" i="127"/>
  <c r="AD82" i="127" s="1"/>
  <c r="BX82" i="127"/>
  <c r="AC82" i="127"/>
  <c r="BP82" i="127"/>
  <c r="AB82" i="127"/>
  <c r="AD81" i="127"/>
  <c r="AC81" i="127"/>
  <c r="AB81" i="127"/>
  <c r="AD80" i="127"/>
  <c r="AC80" i="127"/>
  <c r="AB80" i="127"/>
  <c r="AD78" i="127"/>
  <c r="AC78" i="127"/>
  <c r="AB78" i="127"/>
  <c r="AD77" i="127"/>
  <c r="AC77" i="127"/>
  <c r="AB77" i="127"/>
  <c r="AD76" i="127"/>
  <c r="AC76" i="127"/>
  <c r="AB76" i="127"/>
  <c r="AD75" i="127"/>
  <c r="AC75" i="127"/>
  <c r="AB75" i="127"/>
  <c r="AD74" i="127"/>
  <c r="AC74" i="127"/>
  <c r="AB74" i="127"/>
  <c r="AD73" i="127"/>
  <c r="AC73" i="127"/>
  <c r="AB73" i="127"/>
  <c r="BU71" i="127"/>
  <c r="AD71" i="127" s="1"/>
  <c r="BX71" i="127"/>
  <c r="AC71" i="127"/>
  <c r="BP71" i="127"/>
  <c r="AB71" i="127"/>
  <c r="AD70" i="127"/>
  <c r="AC70" i="127"/>
  <c r="AB70" i="127"/>
  <c r="AD69" i="127"/>
  <c r="AC69" i="127"/>
  <c r="AB69" i="127"/>
  <c r="AD61" i="127"/>
  <c r="AC61" i="127"/>
  <c r="AB61" i="127"/>
  <c r="AD60" i="127"/>
  <c r="AC60" i="127"/>
  <c r="AB60" i="127"/>
  <c r="AD63" i="127"/>
  <c r="AC63" i="127"/>
  <c r="AB63" i="127"/>
  <c r="AD62" i="127"/>
  <c r="AC62" i="127"/>
  <c r="AB62" i="127"/>
  <c r="AD59" i="127"/>
  <c r="AC59" i="127"/>
  <c r="AB59" i="127"/>
  <c r="AD58" i="127"/>
  <c r="AC58" i="127"/>
  <c r="AB58" i="127"/>
  <c r="AD57" i="127"/>
  <c r="AC57" i="127"/>
  <c r="AB57" i="127"/>
  <c r="AD56" i="127"/>
  <c r="AC56" i="127"/>
  <c r="AB56" i="127"/>
  <c r="AD54" i="127"/>
  <c r="AB54" i="127"/>
  <c r="AD53" i="127"/>
  <c r="AB53" i="127"/>
  <c r="AD52" i="127"/>
  <c r="AC52" i="127"/>
  <c r="AB52" i="127"/>
  <c r="AD51" i="127"/>
  <c r="AC51" i="127"/>
  <c r="AD50" i="127"/>
  <c r="AC50" i="127"/>
  <c r="AB50" i="127"/>
  <c r="AD49" i="127"/>
  <c r="AC49" i="127"/>
  <c r="AB49" i="127"/>
  <c r="AD48" i="127"/>
  <c r="AC48" i="127"/>
  <c r="AB48" i="127"/>
  <c r="AD47" i="127"/>
  <c r="AC47" i="127"/>
  <c r="AB47" i="127"/>
  <c r="AD46" i="127"/>
  <c r="AC46" i="127"/>
  <c r="AB46" i="127"/>
  <c r="AD45" i="127"/>
  <c r="AC45" i="127"/>
  <c r="AB45" i="127"/>
  <c r="AD44" i="127"/>
  <c r="AC44" i="127"/>
  <c r="AB44" i="127"/>
  <c r="AD43" i="127"/>
  <c r="AC43" i="127"/>
  <c r="AB43" i="127"/>
  <c r="AD42" i="127"/>
  <c r="AC42" i="127"/>
  <c r="AB42" i="127"/>
  <c r="AD41" i="127"/>
  <c r="AC41" i="127"/>
  <c r="AB41" i="127"/>
  <c r="AD39" i="127"/>
  <c r="AC39" i="127"/>
  <c r="AB39" i="127"/>
  <c r="AD38" i="127"/>
  <c r="AC38" i="127"/>
  <c r="AB38" i="127"/>
  <c r="AD37" i="127"/>
  <c r="AC37" i="127"/>
  <c r="AB37" i="127"/>
  <c r="AD36" i="127"/>
  <c r="AC36" i="127"/>
  <c r="AB36" i="127"/>
  <c r="BU33" i="127"/>
  <c r="AD33" i="127" s="1"/>
  <c r="BX33" i="127"/>
  <c r="AC33" i="127"/>
  <c r="BP33" i="127"/>
  <c r="AB33" i="127"/>
  <c r="AD32" i="127"/>
  <c r="AC32" i="127"/>
  <c r="AB32" i="127"/>
  <c r="AD31" i="127"/>
  <c r="AB31" i="127"/>
  <c r="BU30" i="127"/>
  <c r="AD30" i="127"/>
  <c r="BX30" i="127"/>
  <c r="AC30" i="127"/>
  <c r="BP30" i="127"/>
  <c r="AB30" i="127"/>
  <c r="AD29" i="127"/>
  <c r="AC29" i="127"/>
  <c r="AB29" i="127"/>
  <c r="AD28" i="127"/>
  <c r="AC28" i="127"/>
  <c r="AB28" i="127"/>
  <c r="AD26" i="127"/>
  <c r="AC26" i="127"/>
  <c r="AB26" i="127"/>
  <c r="AD25" i="127"/>
  <c r="AC25" i="127"/>
  <c r="AB25" i="127"/>
  <c r="AD24" i="127"/>
  <c r="AC24" i="127"/>
  <c r="AB24" i="127"/>
  <c r="AD23" i="127"/>
  <c r="AC23" i="127"/>
  <c r="AB23" i="127"/>
  <c r="AD17" i="127"/>
  <c r="AC17" i="127"/>
  <c r="AB17" i="127"/>
  <c r="AD118" i="127"/>
  <c r="AC118" i="127"/>
  <c r="AB118" i="127"/>
  <c r="AD16" i="127"/>
  <c r="AC16" i="127"/>
  <c r="AB16" i="127"/>
  <c r="BU14" i="127"/>
  <c r="AD14" i="127" s="1"/>
  <c r="BX14" i="127"/>
  <c r="AC14" i="127"/>
  <c r="BP14" i="127"/>
  <c r="AB14" i="127"/>
  <c r="AD13" i="127"/>
  <c r="AC13" i="127"/>
  <c r="AB13" i="127"/>
  <c r="AD9" i="127"/>
  <c r="AC9" i="127"/>
  <c r="AB9" i="127"/>
  <c r="AD12" i="127"/>
  <c r="AC12" i="127"/>
  <c r="AB12" i="127"/>
  <c r="AD8" i="127"/>
  <c r="AC8" i="127"/>
  <c r="AB8" i="127"/>
  <c r="AD11" i="127"/>
  <c r="AC11" i="127"/>
  <c r="AB11" i="127"/>
  <c r="AD10" i="127"/>
  <c r="AC10" i="127"/>
  <c r="AB10" i="127"/>
  <c r="AD7" i="127"/>
  <c r="AC7" i="127"/>
  <c r="AB7" i="127"/>
  <c r="AA69" i="127"/>
  <c r="AA71" i="127"/>
  <c r="AA53" i="127"/>
  <c r="AA51" i="127"/>
  <c r="AA23" i="127"/>
  <c r="AA32" i="127"/>
  <c r="AA33" i="127" s="1"/>
  <c r="AA30" i="127"/>
  <c r="AA16" i="127"/>
  <c r="AA17" i="127"/>
  <c r="AA13" i="127"/>
  <c r="AA7" i="127"/>
  <c r="AA14" i="127" s="1"/>
  <c r="AA107" i="127"/>
  <c r="AA106" i="127"/>
  <c r="AA105" i="127"/>
  <c r="AA104" i="127"/>
  <c r="AA103" i="127"/>
  <c r="AA102" i="127"/>
  <c r="AA101" i="127"/>
  <c r="AA85" i="127"/>
  <c r="AA84" i="127"/>
  <c r="AA83" i="127"/>
  <c r="BQ82" i="127"/>
  <c r="BO82" i="127"/>
  <c r="AA82" i="127" s="1"/>
  <c r="AA81" i="127"/>
  <c r="AA80" i="127"/>
  <c r="AA78" i="127"/>
  <c r="AA77" i="127"/>
  <c r="AA76" i="127"/>
  <c r="AA75" i="127"/>
  <c r="AA74" i="127"/>
  <c r="AA73" i="127"/>
  <c r="AA61" i="127"/>
  <c r="AA60" i="127"/>
  <c r="AA63" i="127"/>
  <c r="AA62" i="127"/>
  <c r="AA59" i="127"/>
  <c r="AA58" i="127"/>
  <c r="AA57" i="127"/>
  <c r="AA56" i="127"/>
  <c r="AA48" i="127"/>
  <c r="AA41" i="127"/>
  <c r="AA37" i="127"/>
  <c r="AA36" i="127"/>
  <c r="AA29" i="127"/>
  <c r="AA28" i="127"/>
  <c r="AA25" i="127"/>
  <c r="AA24" i="127"/>
  <c r="AA118" i="127"/>
  <c r="AA9" i="127"/>
  <c r="AA12" i="127"/>
  <c r="AA8" i="127"/>
  <c r="AA11" i="127"/>
  <c r="AA10" i="127"/>
  <c r="Z107" i="127"/>
  <c r="Z106" i="127"/>
  <c r="Z105" i="127"/>
  <c r="Z104" i="127"/>
  <c r="Z103" i="127"/>
  <c r="Z102" i="127"/>
  <c r="Z101" i="127"/>
  <c r="Z98" i="127"/>
  <c r="Z99" i="127"/>
  <c r="Z96" i="127"/>
  <c r="Z95" i="127"/>
  <c r="Z97" i="127"/>
  <c r="Z85" i="127"/>
  <c r="Z84" i="127"/>
  <c r="Z83" i="127"/>
  <c r="BM82" i="127"/>
  <c r="Z82" i="127" s="1"/>
  <c r="Z81" i="127"/>
  <c r="Z80" i="127"/>
  <c r="Z78" i="127"/>
  <c r="Z77" i="127"/>
  <c r="Z76" i="127"/>
  <c r="Z75" i="127"/>
  <c r="Z74" i="127"/>
  <c r="Z73" i="127"/>
  <c r="BM71" i="127"/>
  <c r="Z71" i="127" s="1"/>
  <c r="Z70" i="127"/>
  <c r="Z69" i="127"/>
  <c r="Z61" i="127"/>
  <c r="Z60" i="127"/>
  <c r="Z63" i="127"/>
  <c r="Z62" i="127"/>
  <c r="Z59" i="127"/>
  <c r="Z58" i="127"/>
  <c r="Z57" i="127"/>
  <c r="Z56" i="127"/>
  <c r="Z54" i="127"/>
  <c r="Z52" i="127"/>
  <c r="Z51" i="127"/>
  <c r="Z50" i="127"/>
  <c r="Z49" i="127"/>
  <c r="Z48" i="127"/>
  <c r="Z47" i="127"/>
  <c r="Z46" i="127"/>
  <c r="Z45" i="127"/>
  <c r="Z44" i="127"/>
  <c r="Z43" i="127"/>
  <c r="Z42" i="127"/>
  <c r="Z41" i="127"/>
  <c r="Z39" i="127"/>
  <c r="Z38" i="127"/>
  <c r="Z37" i="127"/>
  <c r="Z36" i="127"/>
  <c r="BM33" i="127"/>
  <c r="Z33" i="127" s="1"/>
  <c r="Z32" i="127"/>
  <c r="Z31" i="127"/>
  <c r="BM30" i="127"/>
  <c r="Z30" i="127"/>
  <c r="Z29" i="127"/>
  <c r="Z28" i="127"/>
  <c r="Z26" i="127"/>
  <c r="Z25" i="127"/>
  <c r="Z24" i="127"/>
  <c r="Z23" i="127"/>
  <c r="Z17" i="127"/>
  <c r="Z118" i="127"/>
  <c r="Z16" i="127"/>
  <c r="BM14" i="127"/>
  <c r="Z14" i="127" s="1"/>
  <c r="Z13" i="127"/>
  <c r="Z9" i="127"/>
  <c r="Z12" i="127"/>
  <c r="Z8" i="127"/>
  <c r="Z11" i="127"/>
  <c r="Z10" i="127"/>
  <c r="Z7" i="127"/>
  <c r="Y69" i="127"/>
  <c r="Y71" i="127"/>
  <c r="Y54" i="127"/>
  <c r="Y23" i="127"/>
  <c r="Y30" i="127" s="1"/>
  <c r="Y32" i="127"/>
  <c r="Y33" i="127"/>
  <c r="Y16" i="127"/>
  <c r="Y17" i="127"/>
  <c r="Y13" i="127"/>
  <c r="Y7" i="127"/>
  <c r="Y107" i="127"/>
  <c r="Y106" i="127"/>
  <c r="Y105" i="127"/>
  <c r="Y104" i="127"/>
  <c r="Y103" i="127"/>
  <c r="Y102" i="127"/>
  <c r="Y101" i="127"/>
  <c r="Y85" i="127"/>
  <c r="Y84" i="127"/>
  <c r="Y83" i="127"/>
  <c r="BN82" i="127"/>
  <c r="BK82" i="127"/>
  <c r="BL82" i="127"/>
  <c r="Y82" i="127"/>
  <c r="Y81" i="127"/>
  <c r="Y80" i="127"/>
  <c r="Y78" i="127"/>
  <c r="Y77" i="127"/>
  <c r="Y76" i="127"/>
  <c r="Y75" i="127"/>
  <c r="Y74" i="127"/>
  <c r="Y73" i="127"/>
  <c r="Y61" i="127"/>
  <c r="Y60" i="127"/>
  <c r="Y63" i="127"/>
  <c r="Y62" i="127"/>
  <c r="Y59" i="127"/>
  <c r="Y58" i="127"/>
  <c r="Y57" i="127"/>
  <c r="Y56" i="127"/>
  <c r="Y48" i="127"/>
  <c r="Y41" i="127"/>
  <c r="Y37" i="127"/>
  <c r="Y36" i="127"/>
  <c r="Y29" i="127"/>
  <c r="Y28" i="127"/>
  <c r="Y26" i="127"/>
  <c r="Y25" i="127"/>
  <c r="Y24" i="127"/>
  <c r="Y118" i="127"/>
  <c r="Y9" i="127"/>
  <c r="Y12" i="127"/>
  <c r="Y8" i="127"/>
  <c r="Y11" i="127"/>
  <c r="Y10" i="127"/>
  <c r="X69" i="127"/>
  <c r="X71" i="127" s="1"/>
  <c r="X70" i="127"/>
  <c r="X54" i="127"/>
  <c r="X51" i="127"/>
  <c r="X45" i="127"/>
  <c r="X47" i="127" s="1"/>
  <c r="X23" i="127"/>
  <c r="X16" i="127"/>
  <c r="X17" i="127" s="1"/>
  <c r="X13" i="127"/>
  <c r="X14" i="127" s="1"/>
  <c r="X7" i="127"/>
  <c r="X107" i="127"/>
  <c r="X106" i="127"/>
  <c r="X105" i="127"/>
  <c r="X104" i="127"/>
  <c r="X103" i="127"/>
  <c r="X102" i="127"/>
  <c r="X101" i="127"/>
  <c r="X85" i="127"/>
  <c r="X84" i="127"/>
  <c r="X83" i="127"/>
  <c r="BI82" i="127"/>
  <c r="X82" i="127" s="1"/>
  <c r="X81" i="127"/>
  <c r="X80" i="127"/>
  <c r="X78" i="127"/>
  <c r="X77" i="127"/>
  <c r="X76" i="127"/>
  <c r="X75" i="127"/>
  <c r="X74" i="127"/>
  <c r="X73" i="127"/>
  <c r="X61" i="127"/>
  <c r="X60" i="127"/>
  <c r="X63" i="127"/>
  <c r="X62" i="127"/>
  <c r="X59" i="127"/>
  <c r="X58" i="127"/>
  <c r="X57" i="127"/>
  <c r="X56" i="127"/>
  <c r="X48" i="127"/>
  <c r="X41" i="127"/>
  <c r="X38" i="127"/>
  <c r="X37" i="127"/>
  <c r="X36" i="127"/>
  <c r="X29" i="127"/>
  <c r="X26" i="127"/>
  <c r="X25" i="127"/>
  <c r="X24" i="127"/>
  <c r="X118" i="127"/>
  <c r="X9" i="127"/>
  <c r="X12" i="127"/>
  <c r="X8" i="127"/>
  <c r="X11" i="127"/>
  <c r="X10" i="127"/>
  <c r="W107" i="127"/>
  <c r="W106" i="127"/>
  <c r="W105" i="127"/>
  <c r="W104" i="127"/>
  <c r="W103" i="127"/>
  <c r="W102" i="127"/>
  <c r="W101" i="127"/>
  <c r="W98" i="127"/>
  <c r="W99" i="127"/>
  <c r="W96" i="127"/>
  <c r="W95" i="127"/>
  <c r="W97" i="127"/>
  <c r="W85" i="127"/>
  <c r="W84" i="127"/>
  <c r="W83" i="127"/>
  <c r="BR82" i="127"/>
  <c r="W82" i="127"/>
  <c r="W81" i="127"/>
  <c r="W80" i="127"/>
  <c r="W78" i="127"/>
  <c r="W77" i="127"/>
  <c r="W76" i="127"/>
  <c r="W75" i="127"/>
  <c r="W74" i="127"/>
  <c r="W73" i="127"/>
  <c r="BR71" i="127"/>
  <c r="W71" i="127"/>
  <c r="W70" i="127"/>
  <c r="W69" i="127"/>
  <c r="W61" i="127"/>
  <c r="W60" i="127"/>
  <c r="W63" i="127"/>
  <c r="W62" i="127"/>
  <c r="W59" i="127"/>
  <c r="W58" i="127"/>
  <c r="W57" i="127"/>
  <c r="W56" i="127"/>
  <c r="W54" i="127"/>
  <c r="W52" i="127"/>
  <c r="W51" i="127"/>
  <c r="W50" i="127"/>
  <c r="W49" i="127"/>
  <c r="W48" i="127"/>
  <c r="W47" i="127"/>
  <c r="W46" i="127"/>
  <c r="W45" i="127"/>
  <c r="W43" i="127"/>
  <c r="W42" i="127"/>
  <c r="W41" i="127"/>
  <c r="W39" i="127"/>
  <c r="W38" i="127"/>
  <c r="W37" i="127"/>
  <c r="W36" i="127"/>
  <c r="BR33" i="127"/>
  <c r="W33" i="127"/>
  <c r="W32" i="127"/>
  <c r="BR30" i="127"/>
  <c r="W30" i="127"/>
  <c r="W29" i="127"/>
  <c r="W26" i="127"/>
  <c r="W25" i="127"/>
  <c r="W24" i="127"/>
  <c r="W23" i="127"/>
  <c r="W17" i="127"/>
  <c r="W118" i="127"/>
  <c r="W16" i="127"/>
  <c r="BR14" i="127"/>
  <c r="W14" i="127"/>
  <c r="W13" i="127"/>
  <c r="W9" i="127"/>
  <c r="W12" i="127"/>
  <c r="W8" i="127"/>
  <c r="W11" i="127"/>
  <c r="W10" i="127"/>
  <c r="W7" i="127"/>
  <c r="P85" i="127"/>
  <c r="P84" i="127"/>
  <c r="P83" i="127"/>
  <c r="V69" i="127"/>
  <c r="V70" i="127"/>
  <c r="V71" i="127" s="1"/>
  <c r="V52" i="127"/>
  <c r="V53" i="127" s="1"/>
  <c r="V23" i="127"/>
  <c r="V32" i="127"/>
  <c r="V33" i="127" s="1"/>
  <c r="V31" i="127"/>
  <c r="V30" i="127"/>
  <c r="V16" i="127"/>
  <c r="V17" i="127"/>
  <c r="V13" i="127"/>
  <c r="V14" i="127" s="1"/>
  <c r="V7" i="127"/>
  <c r="V107" i="127"/>
  <c r="V106" i="127"/>
  <c r="V105" i="127"/>
  <c r="V104" i="127"/>
  <c r="V103" i="127"/>
  <c r="V102" i="127"/>
  <c r="V101" i="127"/>
  <c r="V85" i="127"/>
  <c r="V84" i="127"/>
  <c r="V83" i="127"/>
  <c r="BG82" i="127"/>
  <c r="V82" i="127"/>
  <c r="V81" i="127"/>
  <c r="V80" i="127"/>
  <c r="V78" i="127"/>
  <c r="V77" i="127"/>
  <c r="V76" i="127"/>
  <c r="V75" i="127"/>
  <c r="V74" i="127"/>
  <c r="V73" i="127"/>
  <c r="V61" i="127"/>
  <c r="V60" i="127"/>
  <c r="V63" i="127"/>
  <c r="V62" i="127"/>
  <c r="V59" i="127"/>
  <c r="V58" i="127"/>
  <c r="V57" i="127"/>
  <c r="V56" i="127"/>
  <c r="V49" i="127"/>
  <c r="V48" i="127"/>
  <c r="V43" i="127"/>
  <c r="V41" i="127"/>
  <c r="V39" i="127"/>
  <c r="V38" i="127"/>
  <c r="V37" i="127"/>
  <c r="V36" i="127"/>
  <c r="V28" i="127"/>
  <c r="V25" i="127"/>
  <c r="V24" i="127"/>
  <c r="V118" i="127"/>
  <c r="V9" i="127"/>
  <c r="V12" i="127"/>
  <c r="V8" i="127"/>
  <c r="V11" i="127"/>
  <c r="V10" i="127"/>
  <c r="U107" i="127"/>
  <c r="T107" i="127"/>
  <c r="S107" i="127"/>
  <c r="U106" i="127"/>
  <c r="T106" i="127"/>
  <c r="S106" i="127"/>
  <c r="U105" i="127"/>
  <c r="T105" i="127"/>
  <c r="S105" i="127"/>
  <c r="U104" i="127"/>
  <c r="T104" i="127"/>
  <c r="S104" i="127"/>
  <c r="U103" i="127"/>
  <c r="T103" i="127"/>
  <c r="S103" i="127"/>
  <c r="U102" i="127"/>
  <c r="T102" i="127"/>
  <c r="S102" i="127"/>
  <c r="U101" i="127"/>
  <c r="T101" i="127"/>
  <c r="S101" i="127"/>
  <c r="U98" i="127"/>
  <c r="T98" i="127"/>
  <c r="S98" i="127"/>
  <c r="U99" i="127"/>
  <c r="T99" i="127"/>
  <c r="S99" i="127"/>
  <c r="U96" i="127"/>
  <c r="T96" i="127"/>
  <c r="S96" i="127"/>
  <c r="U95" i="127"/>
  <c r="T95" i="127"/>
  <c r="S95" i="127"/>
  <c r="U97" i="127"/>
  <c r="T97" i="127"/>
  <c r="S97" i="127"/>
  <c r="U85" i="127"/>
  <c r="T85" i="127"/>
  <c r="S85" i="127"/>
  <c r="U84" i="127"/>
  <c r="T84" i="127"/>
  <c r="S84" i="127"/>
  <c r="U83" i="127"/>
  <c r="T83" i="127"/>
  <c r="S83" i="127"/>
  <c r="BC82" i="127"/>
  <c r="U82" i="127" s="1"/>
  <c r="BB82" i="127"/>
  <c r="T82" i="127" s="1"/>
  <c r="AV82" i="127"/>
  <c r="S82" i="127"/>
  <c r="U81" i="127"/>
  <c r="T81" i="127"/>
  <c r="S81" i="127"/>
  <c r="U80" i="127"/>
  <c r="T80" i="127"/>
  <c r="S80" i="127"/>
  <c r="U78" i="127"/>
  <c r="T78" i="127"/>
  <c r="S78" i="127"/>
  <c r="U77" i="127"/>
  <c r="T77" i="127"/>
  <c r="S77" i="127"/>
  <c r="U76" i="127"/>
  <c r="T76" i="127"/>
  <c r="S76" i="127"/>
  <c r="U75" i="127"/>
  <c r="T75" i="127"/>
  <c r="S75" i="127"/>
  <c r="U74" i="127"/>
  <c r="T74" i="127"/>
  <c r="S74" i="127"/>
  <c r="U73" i="127"/>
  <c r="T73" i="127"/>
  <c r="S73" i="127"/>
  <c r="BC71" i="127"/>
  <c r="U71" i="127" s="1"/>
  <c r="BB71" i="127"/>
  <c r="T71" i="127"/>
  <c r="AV71" i="127"/>
  <c r="S71" i="127"/>
  <c r="U70" i="127"/>
  <c r="T70" i="127"/>
  <c r="S70" i="127"/>
  <c r="U69" i="127"/>
  <c r="T69" i="127"/>
  <c r="S69" i="127"/>
  <c r="U61" i="127"/>
  <c r="T61" i="127"/>
  <c r="S61" i="127"/>
  <c r="U60" i="127"/>
  <c r="T60" i="127"/>
  <c r="S60" i="127"/>
  <c r="U63" i="127"/>
  <c r="T63" i="127"/>
  <c r="S63" i="127"/>
  <c r="U62" i="127"/>
  <c r="T62" i="127"/>
  <c r="S62" i="127"/>
  <c r="U59" i="127"/>
  <c r="T59" i="127"/>
  <c r="S59" i="127"/>
  <c r="U58" i="127"/>
  <c r="T58" i="127"/>
  <c r="S58" i="127"/>
  <c r="U57" i="127"/>
  <c r="T57" i="127"/>
  <c r="S57" i="127"/>
  <c r="U56" i="127"/>
  <c r="T56" i="127"/>
  <c r="S56" i="127"/>
  <c r="U54" i="127"/>
  <c r="T54" i="127"/>
  <c r="S54" i="127"/>
  <c r="U53" i="127"/>
  <c r="T53" i="127"/>
  <c r="U52" i="127"/>
  <c r="T52" i="127"/>
  <c r="T51" i="127"/>
  <c r="S51" i="127"/>
  <c r="U50" i="127"/>
  <c r="T50" i="127"/>
  <c r="S50" i="127"/>
  <c r="U49" i="127"/>
  <c r="T49" i="127"/>
  <c r="S49" i="127"/>
  <c r="U48" i="127"/>
  <c r="T48" i="127"/>
  <c r="S48" i="127"/>
  <c r="U47" i="127"/>
  <c r="T47" i="127"/>
  <c r="S47" i="127"/>
  <c r="U46" i="127"/>
  <c r="T46" i="127"/>
  <c r="S46" i="127"/>
  <c r="U45" i="127"/>
  <c r="T45" i="127"/>
  <c r="S45" i="127"/>
  <c r="U44" i="127"/>
  <c r="T44" i="127"/>
  <c r="S44" i="127"/>
  <c r="U43" i="127"/>
  <c r="T43" i="127"/>
  <c r="S43" i="127"/>
  <c r="U42" i="127"/>
  <c r="T42" i="127"/>
  <c r="S42" i="127"/>
  <c r="U41" i="127"/>
  <c r="T41" i="127"/>
  <c r="S41" i="127"/>
  <c r="U39" i="127"/>
  <c r="T39" i="127"/>
  <c r="S39" i="127"/>
  <c r="U38" i="127"/>
  <c r="T38" i="127"/>
  <c r="S38" i="127"/>
  <c r="U37" i="127"/>
  <c r="T37" i="127"/>
  <c r="S37" i="127"/>
  <c r="U36" i="127"/>
  <c r="T36" i="127"/>
  <c r="S36" i="127"/>
  <c r="BC33" i="127"/>
  <c r="U33" i="127" s="1"/>
  <c r="BB33" i="127"/>
  <c r="T33" i="127"/>
  <c r="AV33" i="127"/>
  <c r="S33" i="127"/>
  <c r="U32" i="127"/>
  <c r="T32" i="127"/>
  <c r="S32" i="127"/>
  <c r="BC30" i="127"/>
  <c r="U30" i="127"/>
  <c r="BB30" i="127"/>
  <c r="T30" i="127"/>
  <c r="AV30" i="127"/>
  <c r="S30" i="127"/>
  <c r="U29" i="127"/>
  <c r="T29" i="127"/>
  <c r="S29" i="127"/>
  <c r="T28" i="127"/>
  <c r="S28" i="127"/>
  <c r="U26" i="127"/>
  <c r="T26" i="127"/>
  <c r="S26" i="127"/>
  <c r="U25" i="127"/>
  <c r="T25" i="127"/>
  <c r="S25" i="127"/>
  <c r="U24" i="127"/>
  <c r="T24" i="127"/>
  <c r="S24" i="127"/>
  <c r="U23" i="127"/>
  <c r="T23" i="127"/>
  <c r="S23" i="127"/>
  <c r="U17" i="127"/>
  <c r="T17" i="127"/>
  <c r="S17" i="127"/>
  <c r="U118" i="127"/>
  <c r="T118" i="127"/>
  <c r="S118" i="127"/>
  <c r="U16" i="127"/>
  <c r="T16" i="127"/>
  <c r="S16" i="127"/>
  <c r="BC14" i="127"/>
  <c r="U14" i="127" s="1"/>
  <c r="BB14" i="127"/>
  <c r="T14" i="127" s="1"/>
  <c r="AV14" i="127"/>
  <c r="S14" i="127"/>
  <c r="U13" i="127"/>
  <c r="T13" i="127"/>
  <c r="S13" i="127"/>
  <c r="U9" i="127"/>
  <c r="T9" i="127"/>
  <c r="S9" i="127"/>
  <c r="U12" i="127"/>
  <c r="T12" i="127"/>
  <c r="S12" i="127"/>
  <c r="U8" i="127"/>
  <c r="T8" i="127"/>
  <c r="S8" i="127"/>
  <c r="U11" i="127"/>
  <c r="T11" i="127"/>
  <c r="S11" i="127"/>
  <c r="U10" i="127"/>
  <c r="T10" i="127"/>
  <c r="S10" i="127"/>
  <c r="U7" i="127"/>
  <c r="T7" i="127"/>
  <c r="S7" i="127"/>
  <c r="R71" i="127"/>
  <c r="R54" i="127"/>
  <c r="R51" i="127"/>
  <c r="R33" i="127"/>
  <c r="R30" i="127"/>
  <c r="R14" i="127"/>
  <c r="Q107" i="127"/>
  <c r="Q106" i="127"/>
  <c r="Q105" i="127"/>
  <c r="Q104" i="127"/>
  <c r="Q103" i="127"/>
  <c r="Q102" i="127"/>
  <c r="Q101" i="127"/>
  <c r="Q98" i="127"/>
  <c r="Q99" i="127"/>
  <c r="Q96" i="127"/>
  <c r="Q95" i="127"/>
  <c r="Q97" i="127"/>
  <c r="Q85" i="127"/>
  <c r="Q84" i="127"/>
  <c r="Q83" i="127"/>
  <c r="AU82" i="127"/>
  <c r="Q82" i="127"/>
  <c r="Q81" i="127"/>
  <c r="Q80" i="127"/>
  <c r="Q78" i="127"/>
  <c r="Q77" i="127"/>
  <c r="Q76" i="127"/>
  <c r="Q75" i="127"/>
  <c r="Q74" i="127"/>
  <c r="Q73" i="127"/>
  <c r="AU71" i="127"/>
  <c r="Q71" i="127"/>
  <c r="Q70" i="127"/>
  <c r="Q69" i="127"/>
  <c r="Q61" i="127"/>
  <c r="Q60" i="127"/>
  <c r="Q63" i="127"/>
  <c r="Q62" i="127"/>
  <c r="Q59" i="127"/>
  <c r="Q58" i="127"/>
  <c r="Q57" i="127"/>
  <c r="Q56" i="127"/>
  <c r="Q54" i="127"/>
  <c r="Q53" i="127"/>
  <c r="Q52" i="127"/>
  <c r="Q51" i="127"/>
  <c r="Q50" i="127"/>
  <c r="Q49" i="127"/>
  <c r="Q48" i="127"/>
  <c r="Q47" i="127"/>
  <c r="Q46" i="127"/>
  <c r="Q45" i="127"/>
  <c r="Q44" i="127"/>
  <c r="Q43" i="127"/>
  <c r="Q42" i="127"/>
  <c r="Q41" i="127"/>
  <c r="Q39" i="127"/>
  <c r="Q38" i="127"/>
  <c r="Q37" i="127"/>
  <c r="Q36" i="127"/>
  <c r="AU33" i="127"/>
  <c r="Q33" i="127"/>
  <c r="Q32" i="127"/>
  <c r="Q31" i="127"/>
  <c r="AU30" i="127"/>
  <c r="Q30" i="127" s="1"/>
  <c r="Q29" i="127"/>
  <c r="Q28" i="127"/>
  <c r="Q26" i="127"/>
  <c r="Q25" i="127"/>
  <c r="Q24" i="127"/>
  <c r="Q23" i="127"/>
  <c r="Q22" i="127"/>
  <c r="Q17" i="127"/>
  <c r="Q118" i="127"/>
  <c r="Q16" i="127"/>
  <c r="AU14" i="127"/>
  <c r="Q14" i="127" s="1"/>
  <c r="Q13" i="127"/>
  <c r="Q9" i="127"/>
  <c r="Q12" i="127"/>
  <c r="Q8" i="127"/>
  <c r="Q11" i="127"/>
  <c r="Q10" i="127"/>
  <c r="Q7" i="127"/>
  <c r="P81" i="127"/>
  <c r="P80" i="127"/>
  <c r="P82" i="127" s="1"/>
  <c r="P69" i="127"/>
  <c r="P71" i="127" s="1"/>
  <c r="P70" i="127"/>
  <c r="P54" i="127"/>
  <c r="P51" i="127"/>
  <c r="P23" i="127"/>
  <c r="P30" i="127" s="1"/>
  <c r="P31" i="127"/>
  <c r="P16" i="127"/>
  <c r="P17" i="127" s="1"/>
  <c r="P13" i="127"/>
  <c r="P14" i="127" s="1"/>
  <c r="P7" i="127"/>
  <c r="P107" i="127"/>
  <c r="P106" i="127"/>
  <c r="P105" i="127"/>
  <c r="P104" i="127"/>
  <c r="P103" i="127"/>
  <c r="P102" i="127"/>
  <c r="P101" i="127"/>
  <c r="AZ82" i="127"/>
  <c r="BA82" i="127"/>
  <c r="P78" i="127"/>
  <c r="P77" i="127"/>
  <c r="P76" i="127"/>
  <c r="P75" i="127"/>
  <c r="P74" i="127"/>
  <c r="P73" i="127"/>
  <c r="AZ71" i="127"/>
  <c r="BA71" i="127"/>
  <c r="P39" i="127"/>
  <c r="P38" i="127"/>
  <c r="P37" i="127"/>
  <c r="P36" i="127"/>
  <c r="AZ33" i="127"/>
  <c r="BA33" i="127"/>
  <c r="AZ30" i="127"/>
  <c r="BA30" i="127"/>
  <c r="P29" i="127"/>
  <c r="P28" i="127"/>
  <c r="P26" i="127"/>
  <c r="P25" i="127"/>
  <c r="P24" i="127"/>
  <c r="P118" i="127"/>
  <c r="AZ14" i="127"/>
  <c r="BA14" i="127"/>
  <c r="P9" i="127"/>
  <c r="P12" i="127"/>
  <c r="P8" i="127"/>
  <c r="P11" i="127"/>
  <c r="P10" i="127"/>
  <c r="O107" i="127"/>
  <c r="O106" i="127"/>
  <c r="O105" i="127"/>
  <c r="O104" i="127"/>
  <c r="O103" i="127"/>
  <c r="O102" i="127"/>
  <c r="O101" i="127"/>
  <c r="O98" i="127"/>
  <c r="O99" i="127"/>
  <c r="O96" i="127"/>
  <c r="O95" i="127"/>
  <c r="O97" i="127"/>
  <c r="O85" i="127"/>
  <c r="O84" i="127"/>
  <c r="O83" i="127"/>
  <c r="BE82" i="127"/>
  <c r="O82" i="127" s="1"/>
  <c r="O81" i="127"/>
  <c r="O80" i="127"/>
  <c r="O78" i="127"/>
  <c r="O77" i="127"/>
  <c r="O76" i="127"/>
  <c r="O75" i="127"/>
  <c r="O74" i="127"/>
  <c r="O73" i="127"/>
  <c r="BE71" i="127"/>
  <c r="O71" i="127" s="1"/>
  <c r="O70" i="127"/>
  <c r="O69" i="127"/>
  <c r="O61" i="127"/>
  <c r="O60" i="127"/>
  <c r="O63" i="127"/>
  <c r="O62" i="127"/>
  <c r="O59" i="127"/>
  <c r="O58" i="127"/>
  <c r="O57" i="127"/>
  <c r="O56" i="127"/>
  <c r="O54" i="127"/>
  <c r="O53" i="127"/>
  <c r="O52" i="127"/>
  <c r="O51" i="127"/>
  <c r="O50" i="127"/>
  <c r="O49" i="127"/>
  <c r="O48" i="127"/>
  <c r="O47" i="127"/>
  <c r="O46" i="127"/>
  <c r="O45" i="127"/>
  <c r="O44" i="127"/>
  <c r="O43" i="127"/>
  <c r="O42" i="127"/>
  <c r="O41" i="127"/>
  <c r="O39" i="127"/>
  <c r="O38" i="127"/>
  <c r="O37" i="127"/>
  <c r="O36" i="127"/>
  <c r="BE33" i="127"/>
  <c r="O33" i="127" s="1"/>
  <c r="O32" i="127"/>
  <c r="O31" i="127"/>
  <c r="BE30" i="127"/>
  <c r="O30" i="127" s="1"/>
  <c r="O29" i="127"/>
  <c r="O28" i="127"/>
  <c r="O26" i="127"/>
  <c r="O25" i="127"/>
  <c r="O24" i="127"/>
  <c r="O23" i="127"/>
  <c r="O17" i="127"/>
  <c r="O118" i="127"/>
  <c r="O16" i="127"/>
  <c r="BE14" i="127"/>
  <c r="O14" i="127" s="1"/>
  <c r="O13" i="127"/>
  <c r="N107" i="127"/>
  <c r="N106" i="127"/>
  <c r="N105" i="127"/>
  <c r="N104" i="127"/>
  <c r="N103" i="127"/>
  <c r="N102" i="127"/>
  <c r="N101" i="127"/>
  <c r="N98" i="127"/>
  <c r="N99" i="127"/>
  <c r="N96" i="127"/>
  <c r="N95" i="127"/>
  <c r="N97" i="127"/>
  <c r="N85" i="127"/>
  <c r="N84" i="127"/>
  <c r="N83" i="127"/>
  <c r="AW82" i="127"/>
  <c r="N82" i="127"/>
  <c r="N81" i="127"/>
  <c r="N80" i="127"/>
  <c r="N78" i="127"/>
  <c r="N77" i="127"/>
  <c r="N76" i="127"/>
  <c r="N75" i="127"/>
  <c r="N74" i="127"/>
  <c r="N73" i="127"/>
  <c r="AW71" i="127"/>
  <c r="N71" i="127"/>
  <c r="N70" i="127"/>
  <c r="N69" i="127"/>
  <c r="N61" i="127"/>
  <c r="N60" i="127"/>
  <c r="N63" i="127"/>
  <c r="N62" i="127"/>
  <c r="N59" i="127"/>
  <c r="N58" i="127"/>
  <c r="N57" i="127"/>
  <c r="N56" i="127"/>
  <c r="N54" i="127"/>
  <c r="N53" i="127"/>
  <c r="N52" i="127"/>
  <c r="N50" i="127"/>
  <c r="N49" i="127"/>
  <c r="N48" i="127"/>
  <c r="N47" i="127"/>
  <c r="N46" i="127"/>
  <c r="N45" i="127"/>
  <c r="N44" i="127"/>
  <c r="N43" i="127"/>
  <c r="N42" i="127"/>
  <c r="N41" i="127"/>
  <c r="N39" i="127"/>
  <c r="N38" i="127"/>
  <c r="N37" i="127"/>
  <c r="N36" i="127"/>
  <c r="AW33" i="127"/>
  <c r="N33" i="127"/>
  <c r="N32" i="127"/>
  <c r="N31" i="127"/>
  <c r="AW30" i="127"/>
  <c r="N30" i="127" s="1"/>
  <c r="N29" i="127"/>
  <c r="N28" i="127"/>
  <c r="N26" i="127"/>
  <c r="N25" i="127"/>
  <c r="N24" i="127"/>
  <c r="N23" i="127"/>
  <c r="N17" i="127"/>
  <c r="N118" i="127"/>
  <c r="N16" i="127"/>
  <c r="AW14" i="127"/>
  <c r="N14" i="127"/>
  <c r="N13" i="127"/>
  <c r="M107" i="127"/>
  <c r="M106" i="127"/>
  <c r="M105" i="127"/>
  <c r="M104" i="127"/>
  <c r="M103" i="127"/>
  <c r="M102" i="127"/>
  <c r="M101" i="127"/>
  <c r="M98" i="127"/>
  <c r="M99" i="127"/>
  <c r="M96" i="127"/>
  <c r="M95" i="127"/>
  <c r="M97" i="127"/>
  <c r="M85" i="127"/>
  <c r="M84" i="127"/>
  <c r="M83" i="127"/>
  <c r="BD82" i="127"/>
  <c r="M82" i="127"/>
  <c r="M81" i="127"/>
  <c r="M80" i="127"/>
  <c r="M78" i="127"/>
  <c r="M77" i="127"/>
  <c r="M76" i="127"/>
  <c r="M75" i="127"/>
  <c r="M74" i="127"/>
  <c r="M73" i="127"/>
  <c r="BD71" i="127"/>
  <c r="M71" i="127"/>
  <c r="M70" i="127"/>
  <c r="M69" i="127"/>
  <c r="M61" i="127"/>
  <c r="M60" i="127"/>
  <c r="M63" i="127"/>
  <c r="M62" i="127"/>
  <c r="M59" i="127"/>
  <c r="M58" i="127"/>
  <c r="M57" i="127"/>
  <c r="M56" i="127"/>
  <c r="M54" i="127"/>
  <c r="M53" i="127"/>
  <c r="M52" i="127"/>
  <c r="M51" i="127"/>
  <c r="M50" i="127"/>
  <c r="M49" i="127"/>
  <c r="M48" i="127"/>
  <c r="M47" i="127"/>
  <c r="M46" i="127"/>
  <c r="M45" i="127"/>
  <c r="M44" i="127"/>
  <c r="M43" i="127"/>
  <c r="M42" i="127"/>
  <c r="M41" i="127"/>
  <c r="M39" i="127"/>
  <c r="M38" i="127"/>
  <c r="M37" i="127"/>
  <c r="M36" i="127"/>
  <c r="BD33" i="127"/>
  <c r="M33" i="127"/>
  <c r="M32" i="127"/>
  <c r="M31" i="127"/>
  <c r="BD30" i="127"/>
  <c r="M30" i="127" s="1"/>
  <c r="M29" i="127"/>
  <c r="M28" i="127"/>
  <c r="M26" i="127"/>
  <c r="M25" i="127"/>
  <c r="M24" i="127"/>
  <c r="M23" i="127"/>
  <c r="M17" i="127"/>
  <c r="M118" i="127"/>
  <c r="M16" i="127"/>
  <c r="BD14" i="127"/>
  <c r="M14" i="127"/>
  <c r="M13" i="127"/>
  <c r="L107" i="127"/>
  <c r="L106" i="127"/>
  <c r="L105" i="127"/>
  <c r="L104" i="127"/>
  <c r="L103" i="127"/>
  <c r="L102" i="127"/>
  <c r="L101" i="127"/>
  <c r="L98" i="127"/>
  <c r="L99" i="127"/>
  <c r="L96" i="127"/>
  <c r="L95" i="127"/>
  <c r="L97" i="127"/>
  <c r="L85" i="127"/>
  <c r="L84" i="127"/>
  <c r="L83" i="127"/>
  <c r="AY82" i="127"/>
  <c r="L82" i="127" s="1"/>
  <c r="L81" i="127"/>
  <c r="L80" i="127"/>
  <c r="L78" i="127"/>
  <c r="L77" i="127"/>
  <c r="L76" i="127"/>
  <c r="L75" i="127"/>
  <c r="L74" i="127"/>
  <c r="L73" i="127"/>
  <c r="AY71" i="127"/>
  <c r="L71" i="127" s="1"/>
  <c r="L70" i="127"/>
  <c r="L69" i="127"/>
  <c r="L61" i="127"/>
  <c r="L60" i="127"/>
  <c r="L63" i="127"/>
  <c r="L62" i="127"/>
  <c r="L59" i="127"/>
  <c r="L58" i="127"/>
  <c r="L57" i="127"/>
  <c r="L56" i="127"/>
  <c r="L54" i="127"/>
  <c r="L53" i="127"/>
  <c r="L52" i="127"/>
  <c r="L51" i="127"/>
  <c r="L50" i="127"/>
  <c r="L49" i="127"/>
  <c r="L48" i="127"/>
  <c r="L47" i="127"/>
  <c r="L46" i="127"/>
  <c r="L45" i="127"/>
  <c r="L44" i="127"/>
  <c r="L43" i="127"/>
  <c r="L42" i="127"/>
  <c r="L41" i="127"/>
  <c r="L39" i="127"/>
  <c r="L38" i="127"/>
  <c r="L37" i="127"/>
  <c r="L36" i="127"/>
  <c r="AY33" i="127"/>
  <c r="L33" i="127" s="1"/>
  <c r="L32" i="127"/>
  <c r="L31" i="127"/>
  <c r="AY30" i="127"/>
  <c r="L30" i="127"/>
  <c r="L29" i="127"/>
  <c r="L28" i="127"/>
  <c r="L26" i="127"/>
  <c r="L25" i="127"/>
  <c r="L24" i="127"/>
  <c r="L23" i="127"/>
  <c r="L17" i="127"/>
  <c r="L118" i="127"/>
  <c r="L16" i="127"/>
  <c r="AY14" i="127"/>
  <c r="L14" i="127" s="1"/>
  <c r="L13" i="127"/>
  <c r="K107" i="127"/>
  <c r="K106" i="127"/>
  <c r="K105" i="127"/>
  <c r="K104" i="127"/>
  <c r="K103" i="127"/>
  <c r="K102" i="127"/>
  <c r="K101" i="127"/>
  <c r="K98" i="127"/>
  <c r="K99" i="127"/>
  <c r="K96" i="127"/>
  <c r="K95" i="127"/>
  <c r="K97" i="127"/>
  <c r="K85" i="127"/>
  <c r="K84" i="127"/>
  <c r="K83" i="127"/>
  <c r="BF82" i="127"/>
  <c r="K82" i="127" s="1"/>
  <c r="K81" i="127"/>
  <c r="K80" i="127"/>
  <c r="K78" i="127"/>
  <c r="K77" i="127"/>
  <c r="K76" i="127"/>
  <c r="K75" i="127"/>
  <c r="K74" i="127"/>
  <c r="K73" i="127"/>
  <c r="BF71" i="127"/>
  <c r="K71" i="127" s="1"/>
  <c r="K70" i="127"/>
  <c r="K69" i="127"/>
  <c r="K61" i="127"/>
  <c r="K60" i="127"/>
  <c r="K63" i="127"/>
  <c r="K62" i="127"/>
  <c r="K59" i="127"/>
  <c r="K58" i="127"/>
  <c r="K57" i="127"/>
  <c r="K56" i="127"/>
  <c r="K54" i="127"/>
  <c r="K53" i="127"/>
  <c r="K52" i="127"/>
  <c r="K51" i="127"/>
  <c r="K50" i="127"/>
  <c r="K49" i="127"/>
  <c r="K48" i="127"/>
  <c r="K47" i="127"/>
  <c r="K46" i="127"/>
  <c r="K45" i="127"/>
  <c r="K44" i="127"/>
  <c r="K43" i="127"/>
  <c r="K42" i="127"/>
  <c r="K41" i="127"/>
  <c r="K39" i="127"/>
  <c r="K38" i="127"/>
  <c r="K37" i="127"/>
  <c r="K36" i="127"/>
  <c r="BF33" i="127"/>
  <c r="K33" i="127" s="1"/>
  <c r="K32" i="127"/>
  <c r="K31" i="127"/>
  <c r="BF30" i="127"/>
  <c r="K30" i="127"/>
  <c r="K29" i="127"/>
  <c r="K28" i="127"/>
  <c r="K26" i="127"/>
  <c r="K25" i="127"/>
  <c r="K24" i="127"/>
  <c r="K23" i="127"/>
  <c r="K17" i="127"/>
  <c r="K118" i="127"/>
  <c r="K16" i="127"/>
  <c r="BF14" i="127"/>
  <c r="K14" i="127" s="1"/>
  <c r="K13" i="127"/>
  <c r="CL54" i="127"/>
  <c r="I54" i="127"/>
  <c r="H54" i="127"/>
  <c r="G54" i="127"/>
  <c r="F54" i="127"/>
  <c r="F82" i="127"/>
  <c r="G82" i="127"/>
  <c r="H82" i="127"/>
  <c r="I82" i="127"/>
  <c r="CL82" i="127"/>
  <c r="AX71" i="127"/>
  <c r="BG71" i="127"/>
  <c r="BJ71" i="127"/>
  <c r="BH71" i="127"/>
  <c r="BI71" i="127"/>
  <c r="BN71" i="127"/>
  <c r="BQ71" i="127"/>
  <c r="BS71" i="127"/>
  <c r="BT71" i="127"/>
  <c r="CG71" i="127"/>
  <c r="F71" i="127"/>
  <c r="G71" i="127"/>
  <c r="H71" i="127"/>
  <c r="I71" i="127"/>
  <c r="CL71" i="127"/>
  <c r="F51" i="127"/>
  <c r="G51" i="127"/>
  <c r="H51" i="127"/>
  <c r="I51" i="127"/>
  <c r="AX33" i="127"/>
  <c r="BG33" i="127"/>
  <c r="BJ33" i="127"/>
  <c r="BH33" i="127"/>
  <c r="BI33" i="127"/>
  <c r="BK33" i="127"/>
  <c r="BL33" i="127"/>
  <c r="BN33" i="127"/>
  <c r="BO33" i="127"/>
  <c r="BQ33" i="127"/>
  <c r="BS33" i="127"/>
  <c r="BT33" i="127"/>
  <c r="CF33" i="127"/>
  <c r="CG33" i="127"/>
  <c r="F33" i="127"/>
  <c r="G33" i="127"/>
  <c r="H33" i="127"/>
  <c r="I33" i="127"/>
  <c r="CL33" i="127"/>
  <c r="BG30" i="127"/>
  <c r="BJ30" i="127"/>
  <c r="BH30" i="127"/>
  <c r="BI30" i="127"/>
  <c r="BK30" i="127"/>
  <c r="BL30" i="127"/>
  <c r="BN30" i="127"/>
  <c r="BO30" i="127"/>
  <c r="BQ30" i="127"/>
  <c r="BS30" i="127"/>
  <c r="BT30" i="127"/>
  <c r="CF30" i="127"/>
  <c r="CG30" i="127"/>
  <c r="F30" i="127"/>
  <c r="G30" i="127"/>
  <c r="H30" i="127"/>
  <c r="I30" i="127"/>
  <c r="CL30" i="127"/>
  <c r="AX30" i="127"/>
  <c r="AX14" i="127"/>
  <c r="BG14" i="127"/>
  <c r="BJ14" i="127"/>
  <c r="BH14" i="127"/>
  <c r="BI14" i="127"/>
  <c r="BK14" i="127"/>
  <c r="BL14" i="127"/>
  <c r="BN14" i="127"/>
  <c r="BO14" i="127"/>
  <c r="BQ14" i="127"/>
  <c r="BS14" i="127"/>
  <c r="BT14" i="127"/>
  <c r="CF14" i="127"/>
  <c r="F14" i="127"/>
  <c r="G14" i="127"/>
  <c r="H14" i="127"/>
  <c r="I14" i="127"/>
  <c r="CL14" i="127"/>
  <c r="CC65" i="125"/>
  <c r="CD65" i="125"/>
  <c r="CE65" i="125"/>
  <c r="CF65" i="125"/>
  <c r="CG65" i="125"/>
  <c r="AS65" i="125" s="1"/>
  <c r="CH65" i="125"/>
  <c r="CI65" i="125"/>
  <c r="CJ65" i="125"/>
  <c r="CK65" i="125"/>
  <c r="I65" i="125"/>
  <c r="BS65" i="125"/>
  <c r="BT65" i="125"/>
  <c r="BU65" i="125"/>
  <c r="BV65" i="125"/>
  <c r="BW65" i="125"/>
  <c r="BX65" i="125"/>
  <c r="BY65" i="125"/>
  <c r="BZ65" i="125"/>
  <c r="CA65" i="125"/>
  <c r="CB65" i="125"/>
  <c r="BG65" i="125"/>
  <c r="BH65" i="125"/>
  <c r="G65" i="125" s="1"/>
  <c r="BI65" i="125"/>
  <c r="BJ65" i="125"/>
  <c r="BK65" i="125"/>
  <c r="BL65" i="125"/>
  <c r="BM65" i="125"/>
  <c r="BN65" i="125"/>
  <c r="BO65" i="125"/>
  <c r="AA65" i="125" s="1"/>
  <c r="BP65" i="125"/>
  <c r="BQ65" i="125"/>
  <c r="BR65" i="125"/>
  <c r="AU65" i="125"/>
  <c r="AV65" i="125"/>
  <c r="AW65" i="125"/>
  <c r="AX65" i="125"/>
  <c r="AY65" i="125"/>
  <c r="AZ65" i="125"/>
  <c r="P65" i="125" s="1"/>
  <c r="BA65" i="125"/>
  <c r="BB65" i="125"/>
  <c r="BC65" i="125"/>
  <c r="BD65" i="125"/>
  <c r="BE65" i="125"/>
  <c r="O65" i="125" s="1"/>
  <c r="BF65" i="125"/>
  <c r="AY31" i="125"/>
  <c r="L31" i="125" s="1"/>
  <c r="L7" i="125"/>
  <c r="L8" i="125"/>
  <c r="L9" i="125"/>
  <c r="L10" i="125"/>
  <c r="L11" i="125"/>
  <c r="L12" i="125"/>
  <c r="L13" i="125"/>
  <c r="AY14" i="125"/>
  <c r="L14" i="125"/>
  <c r="L16" i="125"/>
  <c r="L17" i="125"/>
  <c r="L18" i="125"/>
  <c r="L19" i="125"/>
  <c r="L20" i="125"/>
  <c r="L118" i="125"/>
  <c r="L21" i="125"/>
  <c r="L23" i="125"/>
  <c r="L24" i="125"/>
  <c r="L25" i="125"/>
  <c r="L26" i="125"/>
  <c r="L27" i="125"/>
  <c r="L28" i="125"/>
  <c r="L29" i="125"/>
  <c r="AY30" i="125"/>
  <c r="L30" i="125" s="1"/>
  <c r="L32" i="125"/>
  <c r="AY33" i="125"/>
  <c r="L33" i="125" s="1"/>
  <c r="L35" i="125"/>
  <c r="L36" i="125"/>
  <c r="L37" i="125"/>
  <c r="L38" i="125"/>
  <c r="L39" i="125"/>
  <c r="L41" i="125"/>
  <c r="L42" i="125"/>
  <c r="L43" i="125"/>
  <c r="L44" i="125"/>
  <c r="L45" i="125"/>
  <c r="L46" i="125"/>
  <c r="L47" i="125"/>
  <c r="L48" i="125"/>
  <c r="L49" i="125"/>
  <c r="L50" i="125"/>
  <c r="AY51" i="125"/>
  <c r="L51" i="125" s="1"/>
  <c r="AY52" i="125"/>
  <c r="AY54" i="125"/>
  <c r="L54" i="125"/>
  <c r="L56" i="125"/>
  <c r="L57" i="125"/>
  <c r="L58" i="125"/>
  <c r="L59" i="125"/>
  <c r="L60" i="125"/>
  <c r="L61" i="125"/>
  <c r="L62" i="125"/>
  <c r="L63" i="125"/>
  <c r="L65" i="125"/>
  <c r="L66" i="125"/>
  <c r="L67" i="125"/>
  <c r="L69" i="125"/>
  <c r="L70" i="125"/>
  <c r="L71" i="125" s="1"/>
  <c r="L73" i="125"/>
  <c r="L74" i="125"/>
  <c r="L75" i="125"/>
  <c r="L76" i="125"/>
  <c r="L77" i="125"/>
  <c r="L78" i="125"/>
  <c r="L80" i="125"/>
  <c r="L81" i="125"/>
  <c r="AY82" i="125"/>
  <c r="L82" i="125" s="1"/>
  <c r="L83" i="125"/>
  <c r="L84" i="125"/>
  <c r="L85" i="125"/>
  <c r="L87" i="125"/>
  <c r="L89" i="125"/>
  <c r="L90" i="125"/>
  <c r="L91" i="125"/>
  <c r="L92" i="125"/>
  <c r="BD31" i="125"/>
  <c r="M31" i="125"/>
  <c r="M7" i="125"/>
  <c r="M8" i="125"/>
  <c r="M9" i="125"/>
  <c r="M10" i="125"/>
  <c r="M11" i="125"/>
  <c r="M12" i="125"/>
  <c r="M13" i="125"/>
  <c r="BD14" i="125"/>
  <c r="M14" i="125" s="1"/>
  <c r="M16" i="125"/>
  <c r="M17" i="125"/>
  <c r="M18" i="125"/>
  <c r="M19" i="125"/>
  <c r="M20" i="125"/>
  <c r="M118" i="125"/>
  <c r="M21" i="125" s="1"/>
  <c r="M23" i="125"/>
  <c r="M24" i="125"/>
  <c r="M25" i="125"/>
  <c r="M26" i="125"/>
  <c r="M27" i="125"/>
  <c r="M28" i="125"/>
  <c r="M29" i="125"/>
  <c r="BD30" i="125"/>
  <c r="M30" i="125"/>
  <c r="M32" i="125"/>
  <c r="BD33" i="125"/>
  <c r="M33" i="125"/>
  <c r="M35" i="125"/>
  <c r="M36" i="125"/>
  <c r="M37" i="125"/>
  <c r="M38" i="125"/>
  <c r="M39" i="125"/>
  <c r="M41" i="125"/>
  <c r="M42" i="125"/>
  <c r="M43" i="125"/>
  <c r="M44" i="125"/>
  <c r="M45" i="125"/>
  <c r="M46" i="125"/>
  <c r="M47" i="125"/>
  <c r="M48" i="125"/>
  <c r="M49" i="125"/>
  <c r="M50" i="125"/>
  <c r="BD51" i="125"/>
  <c r="M51" i="125"/>
  <c r="BD52" i="125"/>
  <c r="M52" i="125" s="1"/>
  <c r="BD53" i="125"/>
  <c r="M53" i="125" s="1"/>
  <c r="BD54" i="125"/>
  <c r="M54" i="125" s="1"/>
  <c r="M56" i="125"/>
  <c r="M57" i="125"/>
  <c r="M58" i="125"/>
  <c r="M59" i="125"/>
  <c r="M60" i="125"/>
  <c r="M61" i="125"/>
  <c r="M62" i="125"/>
  <c r="M63" i="125"/>
  <c r="M65" i="125"/>
  <c r="M66" i="125"/>
  <c r="M67" i="125"/>
  <c r="M69" i="125"/>
  <c r="M70" i="125"/>
  <c r="M71" i="125"/>
  <c r="M73" i="125"/>
  <c r="M74" i="125"/>
  <c r="M75" i="125"/>
  <c r="M76" i="125"/>
  <c r="M77" i="125"/>
  <c r="M78" i="125"/>
  <c r="M80" i="125"/>
  <c r="M81" i="125"/>
  <c r="BD82" i="125"/>
  <c r="M82" i="125"/>
  <c r="M83" i="125"/>
  <c r="M84" i="125"/>
  <c r="M85" i="125"/>
  <c r="M87" i="125"/>
  <c r="M89" i="125"/>
  <c r="M90" i="125"/>
  <c r="M91" i="125"/>
  <c r="M92" i="125"/>
  <c r="AW31" i="125"/>
  <c r="N31" i="125" s="1"/>
  <c r="N7" i="125"/>
  <c r="N8" i="125"/>
  <c r="N9" i="125"/>
  <c r="N10" i="125"/>
  <c r="N11" i="125"/>
  <c r="N12" i="125"/>
  <c r="N13" i="125"/>
  <c r="AW14" i="125"/>
  <c r="N14" i="125"/>
  <c r="N16" i="125"/>
  <c r="N17" i="125"/>
  <c r="N18" i="125"/>
  <c r="N19" i="125"/>
  <c r="N20" i="125"/>
  <c r="N118" i="125"/>
  <c r="N23" i="125"/>
  <c r="N24" i="125"/>
  <c r="N25" i="125"/>
  <c r="N26" i="125"/>
  <c r="N27" i="125"/>
  <c r="N28" i="125"/>
  <c r="N29" i="125"/>
  <c r="AW30" i="125"/>
  <c r="N32" i="125"/>
  <c r="AW33" i="125"/>
  <c r="N33" i="125" s="1"/>
  <c r="N35" i="125"/>
  <c r="N36" i="125"/>
  <c r="N37" i="125"/>
  <c r="N38" i="125"/>
  <c r="N39" i="125"/>
  <c r="N41" i="125"/>
  <c r="N42" i="125"/>
  <c r="N43" i="125"/>
  <c r="N44" i="125"/>
  <c r="N45" i="125"/>
  <c r="N46" i="125"/>
  <c r="N47" i="125"/>
  <c r="N48" i="125"/>
  <c r="N49" i="125"/>
  <c r="N50" i="125"/>
  <c r="AW51" i="125"/>
  <c r="N51" i="125" s="1"/>
  <c r="AW52" i="125"/>
  <c r="N52" i="125"/>
  <c r="AW53" i="125"/>
  <c r="N53" i="125"/>
  <c r="AW54" i="125"/>
  <c r="N54" i="125" s="1"/>
  <c r="N56" i="125"/>
  <c r="N57" i="125"/>
  <c r="N58" i="125"/>
  <c r="N59" i="125"/>
  <c r="N60" i="125"/>
  <c r="N61" i="125"/>
  <c r="N62" i="125"/>
  <c r="N63" i="125"/>
  <c r="N65" i="125"/>
  <c r="AW66" i="125"/>
  <c r="N66" i="125"/>
  <c r="N67" i="125"/>
  <c r="N69" i="125"/>
  <c r="N70" i="125"/>
  <c r="N73" i="125"/>
  <c r="N74" i="125"/>
  <c r="N75" i="125"/>
  <c r="N76" i="125"/>
  <c r="N77" i="125"/>
  <c r="N78" i="125"/>
  <c r="N80" i="125"/>
  <c r="N81" i="125"/>
  <c r="AW82" i="125"/>
  <c r="N82" i="125" s="1"/>
  <c r="N83" i="125"/>
  <c r="N84" i="125"/>
  <c r="N85" i="125"/>
  <c r="N87" i="125"/>
  <c r="N89" i="125"/>
  <c r="N90" i="125"/>
  <c r="N91" i="125"/>
  <c r="N92" i="125"/>
  <c r="BE31" i="125"/>
  <c r="O31" i="125"/>
  <c r="O7" i="125"/>
  <c r="O8" i="125"/>
  <c r="O9" i="125"/>
  <c r="O10" i="125"/>
  <c r="O11" i="125"/>
  <c r="O12" i="125"/>
  <c r="O13" i="125"/>
  <c r="BE14" i="125"/>
  <c r="O14" i="125" s="1"/>
  <c r="O16" i="125"/>
  <c r="O17" i="125"/>
  <c r="O18" i="125"/>
  <c r="O19" i="125"/>
  <c r="O20" i="125"/>
  <c r="O118" i="125"/>
  <c r="O21" i="125" s="1"/>
  <c r="O23" i="125"/>
  <c r="O24" i="125"/>
  <c r="O25" i="125"/>
  <c r="O26" i="125"/>
  <c r="O27" i="125"/>
  <c r="O28" i="125"/>
  <c r="O29" i="125"/>
  <c r="BE30" i="125"/>
  <c r="O30" i="125"/>
  <c r="O32" i="125"/>
  <c r="BE33" i="125"/>
  <c r="O33" i="125" s="1"/>
  <c r="O35" i="125"/>
  <c r="O36" i="125"/>
  <c r="O37" i="125"/>
  <c r="O38" i="125"/>
  <c r="O39" i="125"/>
  <c r="O41" i="125"/>
  <c r="O42" i="125"/>
  <c r="O43" i="125"/>
  <c r="O44" i="125"/>
  <c r="O45" i="125"/>
  <c r="O46" i="125"/>
  <c r="O47" i="125"/>
  <c r="O48" i="125"/>
  <c r="O49" i="125"/>
  <c r="O50" i="125"/>
  <c r="BE51" i="125"/>
  <c r="O51" i="125"/>
  <c r="BE52" i="125"/>
  <c r="O52" i="125"/>
  <c r="BE53" i="125"/>
  <c r="O53" i="125" s="1"/>
  <c r="BE54" i="125"/>
  <c r="O54" i="125" s="1"/>
  <c r="O56" i="125"/>
  <c r="O57" i="125"/>
  <c r="O58" i="125"/>
  <c r="O59" i="125"/>
  <c r="O60" i="125"/>
  <c r="O61" i="125"/>
  <c r="O62" i="125"/>
  <c r="O63" i="125"/>
  <c r="O66" i="125"/>
  <c r="O67" i="125"/>
  <c r="O69" i="125"/>
  <c r="O70" i="125"/>
  <c r="O71" i="125"/>
  <c r="O73" i="125"/>
  <c r="O74" i="125"/>
  <c r="O75" i="125"/>
  <c r="O76" i="125"/>
  <c r="O77" i="125"/>
  <c r="O78" i="125"/>
  <c r="O80" i="125"/>
  <c r="O81" i="125"/>
  <c r="BE82" i="125"/>
  <c r="O82" i="125"/>
  <c r="O83" i="125"/>
  <c r="O84" i="125"/>
  <c r="O85" i="125"/>
  <c r="O87" i="125"/>
  <c r="O89" i="125"/>
  <c r="O90" i="125"/>
  <c r="O91" i="125"/>
  <c r="O92" i="125"/>
  <c r="AZ31" i="125"/>
  <c r="BA31" i="125"/>
  <c r="P23" i="125"/>
  <c r="P31" i="125" s="1"/>
  <c r="P7" i="125"/>
  <c r="P8" i="125"/>
  <c r="P9" i="125"/>
  <c r="P10" i="125"/>
  <c r="P11" i="125"/>
  <c r="P12" i="125"/>
  <c r="P13" i="125"/>
  <c r="P14" i="125" s="1"/>
  <c r="P16" i="125"/>
  <c r="P17" i="125" s="1"/>
  <c r="P18" i="125"/>
  <c r="P19" i="125"/>
  <c r="P20" i="125"/>
  <c r="P118" i="125"/>
  <c r="P21" i="125" s="1"/>
  <c r="P24" i="125"/>
  <c r="P25" i="125"/>
  <c r="P26" i="125"/>
  <c r="P27" i="125"/>
  <c r="P28" i="125"/>
  <c r="P29" i="125"/>
  <c r="P35" i="125"/>
  <c r="P32" i="125"/>
  <c r="P33" i="125" s="1"/>
  <c r="P36" i="125"/>
  <c r="P37" i="125"/>
  <c r="P38" i="125"/>
  <c r="P39" i="125"/>
  <c r="P41" i="125"/>
  <c r="P42" i="125"/>
  <c r="P43" i="125"/>
  <c r="P44" i="125"/>
  <c r="P45" i="125"/>
  <c r="P46" i="125"/>
  <c r="P48" i="125"/>
  <c r="P49" i="125"/>
  <c r="P95" i="125"/>
  <c r="P51" i="125" s="1"/>
  <c r="AZ52" i="125"/>
  <c r="BA52" i="125"/>
  <c r="P52" i="125" s="1"/>
  <c r="P53" i="125" s="1"/>
  <c r="P98" i="125"/>
  <c r="P97" i="125"/>
  <c r="P54" i="125"/>
  <c r="P56" i="125"/>
  <c r="P57" i="125"/>
  <c r="P58" i="125"/>
  <c r="P59" i="125"/>
  <c r="P60" i="125"/>
  <c r="P61" i="125"/>
  <c r="P62" i="125"/>
  <c r="P63" i="125"/>
  <c r="BA66" i="125"/>
  <c r="P66" i="125" s="1"/>
  <c r="P67" i="125"/>
  <c r="P69" i="125"/>
  <c r="P70" i="125"/>
  <c r="P71" i="125"/>
  <c r="P73" i="125"/>
  <c r="P74" i="125"/>
  <c r="P75" i="125"/>
  <c r="P76" i="125"/>
  <c r="P77" i="125"/>
  <c r="P78" i="125"/>
  <c r="P80" i="125"/>
  <c r="P81" i="125"/>
  <c r="P82" i="125" s="1"/>
  <c r="P83" i="125"/>
  <c r="P84" i="125"/>
  <c r="P85" i="125"/>
  <c r="P87" i="125"/>
  <c r="P89" i="125"/>
  <c r="P90" i="125"/>
  <c r="P91" i="125"/>
  <c r="P92" i="125"/>
  <c r="Q7" i="125"/>
  <c r="Q8" i="125"/>
  <c r="Q9" i="125"/>
  <c r="Q10" i="125"/>
  <c r="Q11" i="125"/>
  <c r="Q12" i="125"/>
  <c r="Q13" i="125"/>
  <c r="AU14" i="125"/>
  <c r="Q14" i="125"/>
  <c r="Q16" i="125"/>
  <c r="Q17" i="125"/>
  <c r="Q18" i="125"/>
  <c r="Q19" i="125"/>
  <c r="Q20" i="125"/>
  <c r="Q21" i="125" s="1"/>
  <c r="Q22" i="125"/>
  <c r="Q23" i="125"/>
  <c r="Q24" i="125"/>
  <c r="Q25" i="125"/>
  <c r="Q26" i="125"/>
  <c r="Q27" i="125"/>
  <c r="Q28" i="125"/>
  <c r="Q29" i="125"/>
  <c r="AU30" i="125"/>
  <c r="Q30" i="125" s="1"/>
  <c r="AU31" i="125"/>
  <c r="Q31" i="125"/>
  <c r="Q32" i="125"/>
  <c r="AU33" i="125"/>
  <c r="Q33" i="125" s="1"/>
  <c r="Q35" i="125"/>
  <c r="Q36" i="125"/>
  <c r="Q37" i="125"/>
  <c r="Q38" i="125"/>
  <c r="Q39" i="125"/>
  <c r="Q41" i="125"/>
  <c r="Q42" i="125"/>
  <c r="Q43" i="125"/>
  <c r="Q44" i="125"/>
  <c r="Q45" i="125"/>
  <c r="Q46" i="125"/>
  <c r="Q47" i="125"/>
  <c r="Q48" i="125"/>
  <c r="Q49" i="125"/>
  <c r="Q50" i="125"/>
  <c r="AU51" i="125"/>
  <c r="Q51" i="125"/>
  <c r="Q52" i="125"/>
  <c r="AU52" i="125"/>
  <c r="AU53" i="125" s="1"/>
  <c r="Q53" i="125" s="1"/>
  <c r="AU54" i="125"/>
  <c r="Q54" i="125" s="1"/>
  <c r="Q56" i="125"/>
  <c r="Q57" i="125"/>
  <c r="Q58" i="125"/>
  <c r="Q59" i="125"/>
  <c r="Q60" i="125"/>
  <c r="Q61" i="125"/>
  <c r="Q62" i="125"/>
  <c r="Q63" i="125"/>
  <c r="Q69" i="125"/>
  <c r="Q70" i="125"/>
  <c r="Q71" i="125" s="1"/>
  <c r="Q73" i="125"/>
  <c r="Q74" i="125"/>
  <c r="Q75" i="125"/>
  <c r="Q76" i="125"/>
  <c r="Q77" i="125"/>
  <c r="Q78" i="125"/>
  <c r="Q80" i="125"/>
  <c r="Q81" i="125"/>
  <c r="AU82" i="125"/>
  <c r="Q82" i="125" s="1"/>
  <c r="Q83" i="125"/>
  <c r="Q84" i="125"/>
  <c r="Q85" i="125"/>
  <c r="Q87" i="125"/>
  <c r="Q89" i="125"/>
  <c r="Q90" i="125"/>
  <c r="Q91" i="125"/>
  <c r="Q92" i="125"/>
  <c r="Q66" i="125"/>
  <c r="Q67" i="125"/>
  <c r="AT31" i="125"/>
  <c r="AX31" i="125"/>
  <c r="R23" i="125"/>
  <c r="R31" i="125" s="1"/>
  <c r="R7" i="125"/>
  <c r="R8" i="125"/>
  <c r="R9" i="125"/>
  <c r="R10" i="125"/>
  <c r="R11" i="125"/>
  <c r="R12" i="125"/>
  <c r="R13" i="125"/>
  <c r="R14" i="125" s="1"/>
  <c r="R16" i="125"/>
  <c r="R17" i="125" s="1"/>
  <c r="R18" i="125"/>
  <c r="R19" i="125"/>
  <c r="R20" i="125"/>
  <c r="R118" i="125"/>
  <c r="R21" i="125" s="1"/>
  <c r="R24" i="125"/>
  <c r="R25" i="125"/>
  <c r="R26" i="125"/>
  <c r="R27" i="125"/>
  <c r="R28" i="125"/>
  <c r="R29" i="125"/>
  <c r="R35" i="125"/>
  <c r="R30" i="125" s="1"/>
  <c r="R32" i="125"/>
  <c r="R33" i="125" s="1"/>
  <c r="R36" i="125"/>
  <c r="R37" i="125"/>
  <c r="R38" i="125"/>
  <c r="R39" i="125"/>
  <c r="R41" i="125"/>
  <c r="R42" i="125"/>
  <c r="R43" i="125"/>
  <c r="R44" i="125"/>
  <c r="R45" i="125"/>
  <c r="R47" i="125" s="1"/>
  <c r="R46" i="125"/>
  <c r="R48" i="125"/>
  <c r="R49" i="125"/>
  <c r="R50" i="125"/>
  <c r="R95" i="125"/>
  <c r="R51" i="125"/>
  <c r="AX52" i="125"/>
  <c r="R52" i="125" s="1"/>
  <c r="R53" i="125" s="1"/>
  <c r="R98" i="125"/>
  <c r="R97" i="125"/>
  <c r="R54" i="125"/>
  <c r="R56" i="125"/>
  <c r="R57" i="125"/>
  <c r="R58" i="125"/>
  <c r="R59" i="125"/>
  <c r="R60" i="125"/>
  <c r="R61" i="125"/>
  <c r="R62" i="125"/>
  <c r="R63" i="125"/>
  <c r="R65" i="125"/>
  <c r="AX66" i="125"/>
  <c r="R66" i="125" s="1"/>
  <c r="R67" i="125"/>
  <c r="R69" i="125"/>
  <c r="R70" i="125"/>
  <c r="R71" i="125"/>
  <c r="R73" i="125"/>
  <c r="R74" i="125"/>
  <c r="R75" i="125"/>
  <c r="R76" i="125"/>
  <c r="R77" i="125"/>
  <c r="R78" i="125"/>
  <c r="R80" i="125"/>
  <c r="R81" i="125"/>
  <c r="AX82" i="125"/>
  <c r="R82" i="125"/>
  <c r="R83" i="125"/>
  <c r="R84" i="125"/>
  <c r="R85" i="125"/>
  <c r="R87" i="125"/>
  <c r="R89" i="125"/>
  <c r="R90" i="125"/>
  <c r="R91" i="125"/>
  <c r="R92" i="125"/>
  <c r="AV31" i="125"/>
  <c r="S31" i="125" s="1"/>
  <c r="S7" i="125"/>
  <c r="S8" i="125"/>
  <c r="S9" i="125"/>
  <c r="S10" i="125"/>
  <c r="S11" i="125"/>
  <c r="S12" i="125"/>
  <c r="S13" i="125"/>
  <c r="AV14" i="125"/>
  <c r="S14" i="125"/>
  <c r="S16" i="125"/>
  <c r="S17" i="125"/>
  <c r="S18" i="125"/>
  <c r="S19" i="125"/>
  <c r="S20" i="125"/>
  <c r="S118" i="125"/>
  <c r="S21" i="125"/>
  <c r="S23" i="125"/>
  <c r="S24" i="125"/>
  <c r="S25" i="125"/>
  <c r="S26" i="125"/>
  <c r="S27" i="125"/>
  <c r="S28" i="125"/>
  <c r="S29" i="125"/>
  <c r="AV30" i="125"/>
  <c r="S30" i="125" s="1"/>
  <c r="S32" i="125"/>
  <c r="AV33" i="125"/>
  <c r="S33" i="125" s="1"/>
  <c r="S35" i="125"/>
  <c r="S36" i="125"/>
  <c r="S37" i="125"/>
  <c r="S38" i="125"/>
  <c r="S39" i="125"/>
  <c r="S41" i="125"/>
  <c r="S42" i="125"/>
  <c r="S43" i="125"/>
  <c r="S44" i="125"/>
  <c r="S45" i="125"/>
  <c r="S46" i="125"/>
  <c r="S47" i="125"/>
  <c r="S48" i="125"/>
  <c r="S49" i="125"/>
  <c r="S50" i="125"/>
  <c r="AV51" i="125"/>
  <c r="S51" i="125" s="1"/>
  <c r="AV52" i="125"/>
  <c r="AV54" i="125"/>
  <c r="S54" i="125"/>
  <c r="S56" i="125"/>
  <c r="S57" i="125"/>
  <c r="S58" i="125"/>
  <c r="S59" i="125"/>
  <c r="S60" i="125"/>
  <c r="S61" i="125"/>
  <c r="S62" i="125"/>
  <c r="S63" i="125"/>
  <c r="S65" i="125"/>
  <c r="AV66" i="125"/>
  <c r="S67" i="125"/>
  <c r="S69" i="125"/>
  <c r="S70" i="125"/>
  <c r="S71" i="125"/>
  <c r="S73" i="125"/>
  <c r="S74" i="125"/>
  <c r="S75" i="125"/>
  <c r="S76" i="125"/>
  <c r="S77" i="125"/>
  <c r="S78" i="125"/>
  <c r="S80" i="125"/>
  <c r="S81" i="125"/>
  <c r="AV82" i="125"/>
  <c r="S82" i="125"/>
  <c r="S83" i="125"/>
  <c r="S84" i="125"/>
  <c r="S85" i="125"/>
  <c r="S87" i="125"/>
  <c r="S89" i="125"/>
  <c r="S90" i="125"/>
  <c r="S91" i="125"/>
  <c r="S92" i="125"/>
  <c r="BB31" i="125"/>
  <c r="T31" i="125" s="1"/>
  <c r="T7" i="125"/>
  <c r="T8" i="125"/>
  <c r="T9" i="125"/>
  <c r="T10" i="125"/>
  <c r="T11" i="125"/>
  <c r="T12" i="125"/>
  <c r="T13" i="125"/>
  <c r="BB14" i="125"/>
  <c r="T14" i="125"/>
  <c r="T16" i="125"/>
  <c r="T17" i="125"/>
  <c r="T18" i="125"/>
  <c r="T19" i="125"/>
  <c r="T20" i="125"/>
  <c r="T118" i="125"/>
  <c r="T23" i="125"/>
  <c r="T24" i="125"/>
  <c r="T25" i="125"/>
  <c r="T26" i="125"/>
  <c r="T27" i="125"/>
  <c r="T28" i="125"/>
  <c r="T29" i="125"/>
  <c r="BB30" i="125"/>
  <c r="T32" i="125"/>
  <c r="BB33" i="125"/>
  <c r="T33" i="125" s="1"/>
  <c r="T35" i="125"/>
  <c r="T36" i="125"/>
  <c r="T37" i="125"/>
  <c r="T38" i="125"/>
  <c r="T39" i="125"/>
  <c r="T41" i="125"/>
  <c r="T42" i="125"/>
  <c r="T43" i="125"/>
  <c r="T44" i="125"/>
  <c r="T45" i="125"/>
  <c r="T46" i="125"/>
  <c r="T47" i="125"/>
  <c r="T48" i="125"/>
  <c r="T49" i="125"/>
  <c r="T50" i="125"/>
  <c r="BB51" i="125"/>
  <c r="T51" i="125" s="1"/>
  <c r="BB52" i="125"/>
  <c r="T52" i="125"/>
  <c r="BB53" i="125"/>
  <c r="T53" i="125"/>
  <c r="BB54" i="125"/>
  <c r="T54" i="125" s="1"/>
  <c r="T56" i="125"/>
  <c r="T57" i="125"/>
  <c r="T58" i="125"/>
  <c r="T59" i="125"/>
  <c r="T60" i="125"/>
  <c r="T61" i="125"/>
  <c r="T62" i="125"/>
  <c r="T63" i="125"/>
  <c r="T65" i="125"/>
  <c r="T66" i="125"/>
  <c r="T67" i="125"/>
  <c r="T69" i="125"/>
  <c r="T70" i="125"/>
  <c r="T71" i="125" s="1"/>
  <c r="T73" i="125"/>
  <c r="T74" i="125"/>
  <c r="T75" i="125"/>
  <c r="T76" i="125"/>
  <c r="T77" i="125"/>
  <c r="T78" i="125"/>
  <c r="T80" i="125"/>
  <c r="T81" i="125"/>
  <c r="BB82" i="125"/>
  <c r="T82" i="125" s="1"/>
  <c r="T83" i="125"/>
  <c r="T84" i="125"/>
  <c r="T85" i="125"/>
  <c r="T87" i="125"/>
  <c r="T89" i="125"/>
  <c r="T90" i="125"/>
  <c r="T91" i="125"/>
  <c r="T92" i="125"/>
  <c r="BC31" i="125"/>
  <c r="U31" i="125" s="1"/>
  <c r="U7" i="125"/>
  <c r="U8" i="125"/>
  <c r="U9" i="125"/>
  <c r="U10" i="125"/>
  <c r="U11" i="125"/>
  <c r="U12" i="125"/>
  <c r="U13" i="125"/>
  <c r="BC14" i="125"/>
  <c r="U16" i="125"/>
  <c r="U17" i="125"/>
  <c r="U18" i="125"/>
  <c r="U19" i="125"/>
  <c r="U20" i="125"/>
  <c r="U118" i="125"/>
  <c r="U21" i="125"/>
  <c r="U23" i="125"/>
  <c r="U24" i="125"/>
  <c r="U25" i="125"/>
  <c r="U26" i="125"/>
  <c r="U27" i="125"/>
  <c r="U28" i="125"/>
  <c r="U29" i="125"/>
  <c r="BC30" i="125"/>
  <c r="U30" i="125" s="1"/>
  <c r="U32" i="125"/>
  <c r="BC33" i="125"/>
  <c r="U33" i="125"/>
  <c r="U35" i="125"/>
  <c r="U36" i="125"/>
  <c r="U37" i="125"/>
  <c r="U38" i="125"/>
  <c r="U39" i="125"/>
  <c r="U41" i="125"/>
  <c r="U42" i="125"/>
  <c r="U43" i="125"/>
  <c r="U44" i="125"/>
  <c r="U45" i="125"/>
  <c r="U46" i="125"/>
  <c r="U47" i="125"/>
  <c r="U48" i="125"/>
  <c r="U49" i="125"/>
  <c r="U50" i="125"/>
  <c r="BC51" i="125"/>
  <c r="U51" i="125" s="1"/>
  <c r="BC52" i="125"/>
  <c r="U52" i="125"/>
  <c r="BC53" i="125"/>
  <c r="U53" i="125" s="1"/>
  <c r="BC54" i="125"/>
  <c r="U54" i="125" s="1"/>
  <c r="U56" i="125"/>
  <c r="U57" i="125"/>
  <c r="U58" i="125"/>
  <c r="U59" i="125"/>
  <c r="U60" i="125"/>
  <c r="U61" i="125"/>
  <c r="U62" i="125"/>
  <c r="U63" i="125"/>
  <c r="U65" i="125"/>
  <c r="U66" i="125"/>
  <c r="U67" i="125"/>
  <c r="U69" i="125"/>
  <c r="U71" i="125" s="1"/>
  <c r="U70" i="125"/>
  <c r="U73" i="125"/>
  <c r="U74" i="125"/>
  <c r="U75" i="125"/>
  <c r="U76" i="125"/>
  <c r="U77" i="125"/>
  <c r="U78" i="125"/>
  <c r="U80" i="125"/>
  <c r="U81" i="125"/>
  <c r="BC82" i="125"/>
  <c r="U82" i="125" s="1"/>
  <c r="U83" i="125"/>
  <c r="U84" i="125"/>
  <c r="U85" i="125"/>
  <c r="U87" i="125"/>
  <c r="U89" i="125"/>
  <c r="U90" i="125"/>
  <c r="U91" i="125"/>
  <c r="U92" i="125"/>
  <c r="BG31" i="125"/>
  <c r="BJ31" i="125"/>
  <c r="V23" i="125"/>
  <c r="V31" i="125"/>
  <c r="V7" i="125"/>
  <c r="V8" i="125"/>
  <c r="V9" i="125"/>
  <c r="V10" i="125"/>
  <c r="V11" i="125"/>
  <c r="V12" i="125"/>
  <c r="V13" i="125"/>
  <c r="V14" i="125" s="1"/>
  <c r="V16" i="125"/>
  <c r="V17" i="125"/>
  <c r="V18" i="125"/>
  <c r="V19" i="125"/>
  <c r="V20" i="125"/>
  <c r="V118" i="125"/>
  <c r="V21" i="125"/>
  <c r="V24" i="125"/>
  <c r="V25" i="125"/>
  <c r="V26" i="125"/>
  <c r="V27" i="125"/>
  <c r="V28" i="125"/>
  <c r="V29" i="125"/>
  <c r="V35" i="125"/>
  <c r="V30" i="125" s="1"/>
  <c r="V32" i="125"/>
  <c r="V33" i="125"/>
  <c r="V36" i="125"/>
  <c r="V37" i="125"/>
  <c r="V38" i="125"/>
  <c r="V39" i="125"/>
  <c r="V41" i="125"/>
  <c r="V42" i="125"/>
  <c r="V43" i="125"/>
  <c r="V44" i="125"/>
  <c r="V45" i="125"/>
  <c r="V46" i="125"/>
  <c r="V48" i="125"/>
  <c r="V49" i="125"/>
  <c r="V50" i="125"/>
  <c r="V95" i="125"/>
  <c r="V51" i="125"/>
  <c r="BJ52" i="125"/>
  <c r="V52" i="125"/>
  <c r="V98" i="125"/>
  <c r="V53" i="125"/>
  <c r="V97" i="125"/>
  <c r="V54" i="125" s="1"/>
  <c r="V56" i="125"/>
  <c r="V57" i="125"/>
  <c r="V58" i="125"/>
  <c r="V59" i="125"/>
  <c r="V60" i="125"/>
  <c r="V61" i="125"/>
  <c r="V62" i="125"/>
  <c r="V63" i="125"/>
  <c r="V65" i="125"/>
  <c r="BJ66" i="125"/>
  <c r="V66" i="125"/>
  <c r="V67" i="125"/>
  <c r="V69" i="125"/>
  <c r="V70" i="125"/>
  <c r="V71" i="125" s="1"/>
  <c r="V73" i="125"/>
  <c r="V74" i="125"/>
  <c r="V75" i="125"/>
  <c r="V76" i="125"/>
  <c r="V77" i="125"/>
  <c r="V78" i="125"/>
  <c r="V80" i="125"/>
  <c r="V81" i="125"/>
  <c r="BG82" i="125"/>
  <c r="V82" i="125" s="1"/>
  <c r="BJ82" i="125"/>
  <c r="V83" i="125"/>
  <c r="V84" i="125"/>
  <c r="V85" i="125"/>
  <c r="V87" i="125"/>
  <c r="V89" i="125"/>
  <c r="V90" i="125"/>
  <c r="V91" i="125"/>
  <c r="V92" i="125"/>
  <c r="BR31" i="125"/>
  <c r="W31" i="125" s="1"/>
  <c r="W7" i="125"/>
  <c r="W8" i="125"/>
  <c r="W9" i="125"/>
  <c r="W10" i="125"/>
  <c r="W11" i="125"/>
  <c r="W12" i="125"/>
  <c r="W13" i="125"/>
  <c r="BR14" i="125"/>
  <c r="W14" i="125"/>
  <c r="W16" i="125"/>
  <c r="W17" i="125"/>
  <c r="W18" i="125"/>
  <c r="W19" i="125"/>
  <c r="W20" i="125"/>
  <c r="W118" i="125"/>
  <c r="W21" i="125"/>
  <c r="W23" i="125"/>
  <c r="W24" i="125"/>
  <c r="W25" i="125"/>
  <c r="W26" i="125"/>
  <c r="W27" i="125"/>
  <c r="W28" i="125"/>
  <c r="W29" i="125"/>
  <c r="BR30" i="125"/>
  <c r="W30" i="125" s="1"/>
  <c r="W32" i="125"/>
  <c r="BR33" i="125"/>
  <c r="W33" i="125" s="1"/>
  <c r="W35" i="125"/>
  <c r="W36" i="125"/>
  <c r="W37" i="125"/>
  <c r="W38" i="125"/>
  <c r="W39" i="125"/>
  <c r="W41" i="125"/>
  <c r="W42" i="125"/>
  <c r="W43" i="125"/>
  <c r="W44" i="125"/>
  <c r="W45" i="125"/>
  <c r="W46" i="125"/>
  <c r="W47" i="125"/>
  <c r="W48" i="125"/>
  <c r="W49" i="125"/>
  <c r="W50" i="125"/>
  <c r="BR51" i="125"/>
  <c r="W51" i="125" s="1"/>
  <c r="BR52" i="125"/>
  <c r="BR53" i="125" s="1"/>
  <c r="W53" i="125" s="1"/>
  <c r="W52" i="125"/>
  <c r="BR54" i="125"/>
  <c r="W54" i="125"/>
  <c r="W56" i="125"/>
  <c r="W57" i="125"/>
  <c r="W58" i="125"/>
  <c r="W59" i="125"/>
  <c r="W60" i="125"/>
  <c r="W61" i="125"/>
  <c r="W62" i="125"/>
  <c r="W63" i="125"/>
  <c r="W65" i="125"/>
  <c r="BR66" i="125"/>
  <c r="W66" i="125"/>
  <c r="W67" i="125"/>
  <c r="W69" i="125"/>
  <c r="W70" i="125"/>
  <c r="W71" i="125"/>
  <c r="W73" i="125"/>
  <c r="W74" i="125"/>
  <c r="W75" i="125"/>
  <c r="W76" i="125"/>
  <c r="W77" i="125"/>
  <c r="W78" i="125"/>
  <c r="W80" i="125"/>
  <c r="W81" i="125"/>
  <c r="BR82" i="125"/>
  <c r="W82" i="125"/>
  <c r="W83" i="125"/>
  <c r="W84" i="125"/>
  <c r="W85" i="125"/>
  <c r="W87" i="125"/>
  <c r="W89" i="125"/>
  <c r="W90" i="125"/>
  <c r="W91" i="125"/>
  <c r="W92" i="125"/>
  <c r="BH31" i="125"/>
  <c r="BI31" i="125"/>
  <c r="X31" i="125" s="1"/>
  <c r="X23" i="125"/>
  <c r="X7" i="125"/>
  <c r="X8" i="125"/>
  <c r="X9" i="125"/>
  <c r="X10" i="125"/>
  <c r="X11" i="125"/>
  <c r="X12" i="125"/>
  <c r="X13" i="125"/>
  <c r="X14" i="125"/>
  <c r="X16" i="125"/>
  <c r="X17" i="125"/>
  <c r="X18" i="125"/>
  <c r="X19" i="125"/>
  <c r="X20" i="125"/>
  <c r="X21" i="125" s="1"/>
  <c r="X118" i="125"/>
  <c r="X24" i="125"/>
  <c r="X25" i="125"/>
  <c r="X26" i="125"/>
  <c r="X27" i="125"/>
  <c r="X28" i="125"/>
  <c r="X29" i="125"/>
  <c r="X35" i="125"/>
  <c r="X30" i="125"/>
  <c r="X32" i="125"/>
  <c r="X33" i="125"/>
  <c r="X36" i="125"/>
  <c r="X37" i="125"/>
  <c r="X38" i="125"/>
  <c r="X39" i="125"/>
  <c r="X41" i="125"/>
  <c r="X42" i="125"/>
  <c r="X43" i="125"/>
  <c r="X44" i="125"/>
  <c r="X45" i="125"/>
  <c r="X47" i="125" s="1"/>
  <c r="X46" i="125"/>
  <c r="X48" i="125"/>
  <c r="X49" i="125"/>
  <c r="X50" i="125"/>
  <c r="X95" i="125"/>
  <c r="X51" i="125" s="1"/>
  <c r="BH52" i="125"/>
  <c r="BI52" i="125"/>
  <c r="X98" i="125"/>
  <c r="X97" i="125"/>
  <c r="X54" i="125"/>
  <c r="X56" i="125"/>
  <c r="X57" i="125"/>
  <c r="X58" i="125"/>
  <c r="X59" i="125"/>
  <c r="X60" i="125"/>
  <c r="X61" i="125"/>
  <c r="X62" i="125"/>
  <c r="X63" i="125"/>
  <c r="X65" i="125"/>
  <c r="BI66" i="125"/>
  <c r="X67" i="125"/>
  <c r="X69" i="125"/>
  <c r="X70" i="125"/>
  <c r="X71" i="125"/>
  <c r="X73" i="125"/>
  <c r="X74" i="125"/>
  <c r="X75" i="125"/>
  <c r="X76" i="125"/>
  <c r="X77" i="125"/>
  <c r="X78" i="125"/>
  <c r="X80" i="125"/>
  <c r="X81" i="125"/>
  <c r="BH82" i="125"/>
  <c r="BI82" i="125"/>
  <c r="X83" i="125"/>
  <c r="X84" i="125"/>
  <c r="X85" i="125"/>
  <c r="X87" i="125"/>
  <c r="X89" i="125"/>
  <c r="X90" i="125"/>
  <c r="X91" i="125"/>
  <c r="X92" i="125"/>
  <c r="BK31" i="125"/>
  <c r="BL31" i="125"/>
  <c r="BN31" i="125"/>
  <c r="Y23" i="125"/>
  <c r="Y31" i="125"/>
  <c r="Y7" i="125"/>
  <c r="Y8" i="125"/>
  <c r="Y9" i="125"/>
  <c r="Y10" i="125"/>
  <c r="Y11" i="125"/>
  <c r="Y12" i="125"/>
  <c r="Y13" i="125"/>
  <c r="Y14" i="125" s="1"/>
  <c r="Y16" i="125"/>
  <c r="Y17" i="125"/>
  <c r="Y18" i="125"/>
  <c r="Y19" i="125"/>
  <c r="Y20" i="125"/>
  <c r="Y118" i="125"/>
  <c r="Y21" i="125"/>
  <c r="Y24" i="125"/>
  <c r="Y25" i="125"/>
  <c r="Y26" i="125"/>
  <c r="Y27" i="125"/>
  <c r="Y28" i="125"/>
  <c r="Y29" i="125"/>
  <c r="Y35" i="125"/>
  <c r="Y30" i="125" s="1"/>
  <c r="Y32" i="125"/>
  <c r="Y33" i="125"/>
  <c r="Y36" i="125"/>
  <c r="Y37" i="125"/>
  <c r="Y38" i="125"/>
  <c r="Y39" i="125"/>
  <c r="Y41" i="125"/>
  <c r="Y42" i="125"/>
  <c r="Y43" i="125"/>
  <c r="Y44" i="125"/>
  <c r="Y45" i="125"/>
  <c r="Y46" i="125"/>
  <c r="Y48" i="125"/>
  <c r="Y49" i="125"/>
  <c r="Y50" i="125"/>
  <c r="Y95" i="125"/>
  <c r="Y51" i="125"/>
  <c r="BK52" i="125"/>
  <c r="BL52" i="125"/>
  <c r="BN52" i="125"/>
  <c r="Y52" i="125" s="1"/>
  <c r="Y98" i="125"/>
  <c r="Y97" i="125"/>
  <c r="Y54" i="125"/>
  <c r="Y56" i="125"/>
  <c r="Y57" i="125"/>
  <c r="Y58" i="125"/>
  <c r="Y59" i="125"/>
  <c r="Y60" i="125"/>
  <c r="Y61" i="125"/>
  <c r="Y62" i="125"/>
  <c r="Y63" i="125"/>
  <c r="Y65" i="125"/>
  <c r="Y66" i="125"/>
  <c r="Y67" i="125"/>
  <c r="Y69" i="125"/>
  <c r="Y71" i="125" s="1"/>
  <c r="Y70" i="125"/>
  <c r="Y73" i="125"/>
  <c r="Y74" i="125"/>
  <c r="Y75" i="125"/>
  <c r="Y76" i="125"/>
  <c r="Y77" i="125"/>
  <c r="Y78" i="125"/>
  <c r="Y80" i="125"/>
  <c r="Y81" i="125"/>
  <c r="BK82" i="125"/>
  <c r="BL82" i="125"/>
  <c r="BN82" i="125"/>
  <c r="Y82" i="125" s="1"/>
  <c r="Y83" i="125"/>
  <c r="Y84" i="125"/>
  <c r="Y85" i="125"/>
  <c r="Y87" i="125"/>
  <c r="Y89" i="125"/>
  <c r="Y90" i="125"/>
  <c r="Y91" i="125"/>
  <c r="Y92" i="125"/>
  <c r="BM31" i="125"/>
  <c r="Z31" i="125"/>
  <c r="Z7" i="125"/>
  <c r="Z8" i="125"/>
  <c r="Z9" i="125"/>
  <c r="Z10" i="125"/>
  <c r="Z11" i="125"/>
  <c r="Z12" i="125"/>
  <c r="Z13" i="125"/>
  <c r="BM14" i="125"/>
  <c r="Z14" i="125" s="1"/>
  <c r="Z16" i="125"/>
  <c r="Z17" i="125"/>
  <c r="Z18" i="125"/>
  <c r="Z19" i="125"/>
  <c r="Z20" i="125"/>
  <c r="Z118" i="125"/>
  <c r="Z21" i="125" s="1"/>
  <c r="Z23" i="125"/>
  <c r="Z24" i="125"/>
  <c r="Z25" i="125"/>
  <c r="Z26" i="125"/>
  <c r="Z27" i="125"/>
  <c r="Z28" i="125"/>
  <c r="Z29" i="125"/>
  <c r="BM30" i="125"/>
  <c r="Z30" i="125"/>
  <c r="Z32" i="125"/>
  <c r="BM33" i="125"/>
  <c r="Z33" i="125"/>
  <c r="Z35" i="125"/>
  <c r="Z36" i="125"/>
  <c r="Z37" i="125"/>
  <c r="Z38" i="125"/>
  <c r="Z39" i="125"/>
  <c r="Z41" i="125"/>
  <c r="Z42" i="125"/>
  <c r="Z43" i="125"/>
  <c r="Z44" i="125"/>
  <c r="Z45" i="125"/>
  <c r="Z46" i="125"/>
  <c r="Z47" i="125"/>
  <c r="Z48" i="125"/>
  <c r="Z49" i="125"/>
  <c r="Z50" i="125"/>
  <c r="BM51" i="125"/>
  <c r="Z51" i="125"/>
  <c r="BM52" i="125"/>
  <c r="Z52" i="125"/>
  <c r="BM53" i="125"/>
  <c r="Z53" i="125" s="1"/>
  <c r="BM54" i="125"/>
  <c r="Z54" i="125" s="1"/>
  <c r="Z56" i="125"/>
  <c r="Z57" i="125"/>
  <c r="Z58" i="125"/>
  <c r="Z59" i="125"/>
  <c r="Z60" i="125"/>
  <c r="Z61" i="125"/>
  <c r="Z62" i="125"/>
  <c r="Z63" i="125"/>
  <c r="Z65" i="125"/>
  <c r="Z66" i="125"/>
  <c r="Z67" i="125"/>
  <c r="Z69" i="125"/>
  <c r="Z70" i="125"/>
  <c r="Z71" i="125"/>
  <c r="Z73" i="125"/>
  <c r="Z74" i="125"/>
  <c r="Z75" i="125"/>
  <c r="Z76" i="125"/>
  <c r="Z77" i="125"/>
  <c r="Z78" i="125"/>
  <c r="Z80" i="125"/>
  <c r="Z81" i="125"/>
  <c r="BM82" i="125"/>
  <c r="Z82" i="125"/>
  <c r="Z83" i="125"/>
  <c r="Z84" i="125"/>
  <c r="Z85" i="125"/>
  <c r="Z87" i="125"/>
  <c r="Z89" i="125"/>
  <c r="Z90" i="125"/>
  <c r="Z91" i="125"/>
  <c r="Z92" i="125"/>
  <c r="BO31" i="125"/>
  <c r="AA31" i="125" s="1"/>
  <c r="BQ31" i="125"/>
  <c r="AA23" i="125"/>
  <c r="AA7" i="125"/>
  <c r="AA8" i="125"/>
  <c r="AA9" i="125"/>
  <c r="AA10" i="125"/>
  <c r="AA11" i="125"/>
  <c r="AA12" i="125"/>
  <c r="AA13" i="125"/>
  <c r="AA14" i="125" s="1"/>
  <c r="AA16" i="125"/>
  <c r="AA17" i="125"/>
  <c r="AA18" i="125"/>
  <c r="AA19" i="125"/>
  <c r="AA20" i="125"/>
  <c r="AA118" i="125"/>
  <c r="AA21" i="125"/>
  <c r="AA24" i="125"/>
  <c r="AA25" i="125"/>
  <c r="AA26" i="125"/>
  <c r="AA27" i="125"/>
  <c r="AA28" i="125"/>
  <c r="AA29" i="125"/>
  <c r="AA35" i="125"/>
  <c r="AA32" i="125"/>
  <c r="AA33" i="125"/>
  <c r="AA36" i="125"/>
  <c r="AA37" i="125"/>
  <c r="AA38" i="125"/>
  <c r="AA39" i="125"/>
  <c r="AA41" i="125"/>
  <c r="AA42" i="125"/>
  <c r="AA44" i="125" s="1"/>
  <c r="AA43" i="125"/>
  <c r="AA45" i="125"/>
  <c r="AA46" i="125"/>
  <c r="AA48" i="125"/>
  <c r="AA49" i="125"/>
  <c r="AA95" i="125"/>
  <c r="AA51" i="125"/>
  <c r="BO52" i="125"/>
  <c r="BQ52" i="125"/>
  <c r="AA98" i="125"/>
  <c r="AA97" i="125"/>
  <c r="AA54" i="125"/>
  <c r="AA56" i="125"/>
  <c r="AA57" i="125"/>
  <c r="AA58" i="125"/>
  <c r="AA59" i="125"/>
  <c r="AA60" i="125"/>
  <c r="AA61" i="125"/>
  <c r="AA62" i="125"/>
  <c r="AA63" i="125"/>
  <c r="BQ66" i="125"/>
  <c r="AA66" i="125" s="1"/>
  <c r="AA67" i="125"/>
  <c r="AA69" i="125"/>
  <c r="AA70" i="125"/>
  <c r="AA71" i="125"/>
  <c r="AA73" i="125"/>
  <c r="AA74" i="125"/>
  <c r="AA75" i="125"/>
  <c r="AA76" i="125"/>
  <c r="AA77" i="125"/>
  <c r="AA78" i="125"/>
  <c r="AA80" i="125"/>
  <c r="AA81" i="125"/>
  <c r="BO82" i="125"/>
  <c r="BQ82" i="125"/>
  <c r="AA83" i="125"/>
  <c r="AA84" i="125"/>
  <c r="AA85" i="125"/>
  <c r="AA87" i="125"/>
  <c r="AA89" i="125"/>
  <c r="AA90" i="125"/>
  <c r="AA91" i="125"/>
  <c r="AA92" i="125"/>
  <c r="BP31" i="125"/>
  <c r="AB31" i="125"/>
  <c r="AB7" i="125"/>
  <c r="AB8" i="125"/>
  <c r="AB9" i="125"/>
  <c r="AB10" i="125"/>
  <c r="AB11" i="125"/>
  <c r="AB12" i="125"/>
  <c r="AB13" i="125"/>
  <c r="BP14" i="125"/>
  <c r="AB16" i="125"/>
  <c r="AB17" i="125"/>
  <c r="AB18" i="125"/>
  <c r="AB19" i="125"/>
  <c r="AB20" i="125"/>
  <c r="AB118" i="125"/>
  <c r="AB21" i="125"/>
  <c r="AB23" i="125"/>
  <c r="AB24" i="125"/>
  <c r="AB25" i="125"/>
  <c r="AB26" i="125"/>
  <c r="AB27" i="125"/>
  <c r="AB28" i="125"/>
  <c r="AB29" i="125"/>
  <c r="BP30" i="125"/>
  <c r="AB30" i="125" s="1"/>
  <c r="AB32" i="125"/>
  <c r="BP33" i="125"/>
  <c r="AB33" i="125"/>
  <c r="AB35" i="125"/>
  <c r="AB36" i="125"/>
  <c r="AB37" i="125"/>
  <c r="AB38" i="125"/>
  <c r="AB39" i="125"/>
  <c r="AB41" i="125"/>
  <c r="AB42" i="125"/>
  <c r="AB43" i="125"/>
  <c r="AB44" i="125"/>
  <c r="AB45" i="125"/>
  <c r="AB46" i="125"/>
  <c r="AB47" i="125"/>
  <c r="AB48" i="125"/>
  <c r="AB49" i="125"/>
  <c r="AB50" i="125"/>
  <c r="BP51" i="125"/>
  <c r="AB51" i="125" s="1"/>
  <c r="BP52" i="125"/>
  <c r="AB52" i="125" s="1"/>
  <c r="BP53" i="125"/>
  <c r="AB53" i="125" s="1"/>
  <c r="BP54" i="125"/>
  <c r="AB54" i="125"/>
  <c r="AB56" i="125"/>
  <c r="AB57" i="125"/>
  <c r="AB58" i="125"/>
  <c r="AB59" i="125"/>
  <c r="AB60" i="125"/>
  <c r="AB61" i="125"/>
  <c r="AB62" i="125"/>
  <c r="AB63" i="125"/>
  <c r="AB65" i="125"/>
  <c r="BP66" i="125"/>
  <c r="AB66" i="125" s="1"/>
  <c r="AB67" i="125"/>
  <c r="AB69" i="125"/>
  <c r="AB70" i="125"/>
  <c r="AB71" i="125"/>
  <c r="AB73" i="125"/>
  <c r="AB74" i="125"/>
  <c r="AB75" i="125"/>
  <c r="AB76" i="125"/>
  <c r="AB77" i="125"/>
  <c r="AB78" i="125"/>
  <c r="AB80" i="125"/>
  <c r="AB81" i="125"/>
  <c r="BP82" i="125"/>
  <c r="AB82" i="125"/>
  <c r="AB83" i="125"/>
  <c r="AB84" i="125"/>
  <c r="AB85" i="125"/>
  <c r="AB87" i="125"/>
  <c r="AB89" i="125"/>
  <c r="AB90" i="125"/>
  <c r="AB91" i="125"/>
  <c r="AB92" i="125"/>
  <c r="BX31" i="125"/>
  <c r="AC31" i="125" s="1"/>
  <c r="AC7" i="125"/>
  <c r="AC8" i="125"/>
  <c r="AC9" i="125"/>
  <c r="AC10" i="125"/>
  <c r="AC11" i="125"/>
  <c r="AC12" i="125"/>
  <c r="AC13" i="125"/>
  <c r="BX14" i="125"/>
  <c r="AC14" i="125"/>
  <c r="AC16" i="125"/>
  <c r="AC17" i="125"/>
  <c r="AC18" i="125"/>
  <c r="AC19" i="125"/>
  <c r="AC20" i="125"/>
  <c r="AC118" i="125"/>
  <c r="AC21" i="125"/>
  <c r="AC23" i="125"/>
  <c r="AC24" i="125"/>
  <c r="AC25" i="125"/>
  <c r="AC26" i="125"/>
  <c r="AC27" i="125"/>
  <c r="AC28" i="125"/>
  <c r="AC29" i="125"/>
  <c r="BX30" i="125"/>
  <c r="AC30" i="125" s="1"/>
  <c r="AC32" i="125"/>
  <c r="BX33" i="125"/>
  <c r="AC33" i="125"/>
  <c r="AC35" i="125"/>
  <c r="AC36" i="125"/>
  <c r="AC37" i="125"/>
  <c r="AC38" i="125"/>
  <c r="AC39" i="125"/>
  <c r="AC41" i="125"/>
  <c r="AC42" i="125"/>
  <c r="AC43" i="125"/>
  <c r="AC44" i="125"/>
  <c r="AC45" i="125"/>
  <c r="AC46" i="125"/>
  <c r="AC47" i="125"/>
  <c r="AC48" i="125"/>
  <c r="AC49" i="125"/>
  <c r="AC50" i="125"/>
  <c r="BX51" i="125"/>
  <c r="AC51" i="125" s="1"/>
  <c r="BX52" i="125"/>
  <c r="BX54" i="125"/>
  <c r="AC54" i="125"/>
  <c r="AC56" i="125"/>
  <c r="AC57" i="125"/>
  <c r="AC58" i="125"/>
  <c r="AC59" i="125"/>
  <c r="AC60" i="125"/>
  <c r="AC61" i="125"/>
  <c r="AC62" i="125"/>
  <c r="AC63" i="125"/>
  <c r="AC65" i="125"/>
  <c r="BX66" i="125"/>
  <c r="AC67" i="125"/>
  <c r="AC69" i="125"/>
  <c r="AC70" i="125"/>
  <c r="AC71" i="125"/>
  <c r="AC73" i="125"/>
  <c r="AC74" i="125"/>
  <c r="AC75" i="125"/>
  <c r="AC76" i="125"/>
  <c r="AC77" i="125"/>
  <c r="AC78" i="125"/>
  <c r="AC80" i="125"/>
  <c r="AC81" i="125"/>
  <c r="BX82" i="125"/>
  <c r="AC82" i="125"/>
  <c r="AC83" i="125"/>
  <c r="AC84" i="125"/>
  <c r="AC85" i="125"/>
  <c r="AC87" i="125"/>
  <c r="AC89" i="125"/>
  <c r="AC90" i="125"/>
  <c r="AC91" i="125"/>
  <c r="AC92" i="125"/>
  <c r="BU31" i="125"/>
  <c r="AD31" i="125" s="1"/>
  <c r="AD7" i="125"/>
  <c r="AD8" i="125"/>
  <c r="AD9" i="125"/>
  <c r="AD10" i="125"/>
  <c r="AD11" i="125"/>
  <c r="AD12" i="125"/>
  <c r="AD13" i="125"/>
  <c r="BU14" i="125"/>
  <c r="AD14" i="125"/>
  <c r="AD16" i="125"/>
  <c r="AD17" i="125"/>
  <c r="AD18" i="125"/>
  <c r="AD19" i="125"/>
  <c r="AD20" i="125"/>
  <c r="AD21" i="125" s="1"/>
  <c r="AD118" i="125"/>
  <c r="AD23" i="125"/>
  <c r="AD24" i="125"/>
  <c r="AD25" i="125"/>
  <c r="AD26" i="125"/>
  <c r="AD27" i="125"/>
  <c r="AD28" i="125"/>
  <c r="AD29" i="125"/>
  <c r="BU30" i="125"/>
  <c r="AD30" i="125" s="1"/>
  <c r="AD32" i="125"/>
  <c r="BU33" i="125"/>
  <c r="AD33" i="125"/>
  <c r="AD35" i="125"/>
  <c r="AD36" i="125"/>
  <c r="AD37" i="125"/>
  <c r="AD38" i="125"/>
  <c r="AD39" i="125"/>
  <c r="AD41" i="125"/>
  <c r="AD42" i="125"/>
  <c r="AD43" i="125"/>
  <c r="AD44" i="125"/>
  <c r="AD45" i="125"/>
  <c r="AD46" i="125"/>
  <c r="AD47" i="125"/>
  <c r="AD48" i="125"/>
  <c r="AD49" i="125"/>
  <c r="AD50" i="125"/>
  <c r="BU51" i="125"/>
  <c r="AD51" i="125" s="1"/>
  <c r="BU52" i="125"/>
  <c r="AD52" i="125" s="1"/>
  <c r="BU53" i="125"/>
  <c r="AD53" i="125"/>
  <c r="BU54" i="125"/>
  <c r="AD54" i="125" s="1"/>
  <c r="AD56" i="125"/>
  <c r="AD57" i="125"/>
  <c r="AD58" i="125"/>
  <c r="AD59" i="125"/>
  <c r="AD60" i="125"/>
  <c r="AD61" i="125"/>
  <c r="AD62" i="125"/>
  <c r="AD63" i="125"/>
  <c r="AD65" i="125"/>
  <c r="BU66" i="125"/>
  <c r="AD66" i="125" s="1"/>
  <c r="AD67" i="125"/>
  <c r="AD69" i="125"/>
  <c r="AD70" i="125"/>
  <c r="AD71" i="125" s="1"/>
  <c r="AD73" i="125"/>
  <c r="AD74" i="125"/>
  <c r="AD75" i="125"/>
  <c r="AD76" i="125"/>
  <c r="AD77" i="125"/>
  <c r="AD78" i="125"/>
  <c r="AD80" i="125"/>
  <c r="AD81" i="125"/>
  <c r="BU82" i="125"/>
  <c r="AD82" i="125" s="1"/>
  <c r="AD83" i="125"/>
  <c r="AD84" i="125"/>
  <c r="AD85" i="125"/>
  <c r="AD87" i="125"/>
  <c r="AD89" i="125"/>
  <c r="AD90" i="125"/>
  <c r="AD91" i="125"/>
  <c r="AD92" i="125"/>
  <c r="BS31" i="125"/>
  <c r="BT31" i="125"/>
  <c r="AE23" i="125"/>
  <c r="AE31" i="125"/>
  <c r="AE7" i="125"/>
  <c r="AE8" i="125"/>
  <c r="AE9" i="125"/>
  <c r="AE10" i="125"/>
  <c r="AE11" i="125"/>
  <c r="AE12" i="125"/>
  <c r="AE13" i="125"/>
  <c r="AE14" i="125"/>
  <c r="AE16" i="125"/>
  <c r="AE17" i="125"/>
  <c r="AE18" i="125"/>
  <c r="AE19" i="125"/>
  <c r="AE20" i="125"/>
  <c r="AE118" i="125"/>
  <c r="AE21" i="125"/>
  <c r="AE24" i="125"/>
  <c r="AE25" i="125"/>
  <c r="AE26" i="125"/>
  <c r="AE27" i="125"/>
  <c r="AE28" i="125"/>
  <c r="AE29" i="125"/>
  <c r="AE35" i="125"/>
  <c r="AE30" i="125"/>
  <c r="AE32" i="125"/>
  <c r="AE33" i="125"/>
  <c r="AE36" i="125"/>
  <c r="AE37" i="125"/>
  <c r="AE38" i="125"/>
  <c r="AE39" i="125"/>
  <c r="AE41" i="125"/>
  <c r="AE42" i="125"/>
  <c r="AE43" i="125"/>
  <c r="AE44" i="125"/>
  <c r="AE45" i="125"/>
  <c r="AE47" i="125" s="1"/>
  <c r="AE46" i="125"/>
  <c r="AE48" i="125"/>
  <c r="AE49" i="125"/>
  <c r="AE50" i="125"/>
  <c r="AE95" i="125"/>
  <c r="AE51" i="125" s="1"/>
  <c r="BS52" i="125"/>
  <c r="BT52" i="125"/>
  <c r="AE52" i="125"/>
  <c r="AE98" i="125"/>
  <c r="AE97" i="125"/>
  <c r="AE54" i="125"/>
  <c r="AE56" i="125"/>
  <c r="AE57" i="125"/>
  <c r="AE58" i="125"/>
  <c r="AE59" i="125"/>
  <c r="AE60" i="125"/>
  <c r="AE61" i="125"/>
  <c r="AE62" i="125"/>
  <c r="AE63" i="125"/>
  <c r="AE65" i="125"/>
  <c r="BT66" i="125"/>
  <c r="AE66" i="125" s="1"/>
  <c r="AE67" i="125"/>
  <c r="AE69" i="125"/>
  <c r="AE70" i="125"/>
  <c r="AE71" i="125"/>
  <c r="AE73" i="125"/>
  <c r="AE74" i="125"/>
  <c r="AE75" i="125"/>
  <c r="AE76" i="125"/>
  <c r="AE77" i="125"/>
  <c r="AE78" i="125"/>
  <c r="AE80" i="125"/>
  <c r="AE81" i="125"/>
  <c r="BS82" i="125"/>
  <c r="BT82" i="125"/>
  <c r="AE82" i="125"/>
  <c r="AE83" i="125"/>
  <c r="AE84" i="125"/>
  <c r="AE85" i="125"/>
  <c r="AE87" i="125"/>
  <c r="AE89" i="125"/>
  <c r="AE90" i="125"/>
  <c r="AE91" i="125"/>
  <c r="AE92" i="125"/>
  <c r="CA31" i="125"/>
  <c r="AF31" i="125"/>
  <c r="AF7" i="125"/>
  <c r="AF8" i="125"/>
  <c r="AF9" i="125"/>
  <c r="AF10" i="125"/>
  <c r="AF11" i="125"/>
  <c r="AF12" i="125"/>
  <c r="AF13" i="125"/>
  <c r="CA14" i="125"/>
  <c r="AF14" i="125"/>
  <c r="AF16" i="125"/>
  <c r="AF17" i="125"/>
  <c r="AF18" i="125"/>
  <c r="AF19" i="125"/>
  <c r="AF20" i="125"/>
  <c r="AF118" i="125"/>
  <c r="AF21" i="125" s="1"/>
  <c r="AF23" i="125"/>
  <c r="AF24" i="125"/>
  <c r="AF25" i="125"/>
  <c r="AF26" i="125"/>
  <c r="AF27" i="125"/>
  <c r="AF28" i="125"/>
  <c r="AF29" i="125"/>
  <c r="CA30" i="125"/>
  <c r="AF30" i="125"/>
  <c r="AF32" i="125"/>
  <c r="CA33" i="125"/>
  <c r="AF33" i="125" s="1"/>
  <c r="AF107" i="125" s="1"/>
  <c r="AF35" i="125"/>
  <c r="AF36" i="125"/>
  <c r="AF37" i="125"/>
  <c r="AF38" i="125"/>
  <c r="AF39" i="125"/>
  <c r="AF41" i="125"/>
  <c r="AF42" i="125"/>
  <c r="AF43" i="125"/>
  <c r="AF44" i="125"/>
  <c r="AF45" i="125"/>
  <c r="AF46" i="125"/>
  <c r="AF47" i="125"/>
  <c r="AF48" i="125"/>
  <c r="AF49" i="125"/>
  <c r="AF50" i="125"/>
  <c r="CA51" i="125"/>
  <c r="AF51" i="125"/>
  <c r="CA52" i="125"/>
  <c r="AF52" i="125"/>
  <c r="CA53" i="125"/>
  <c r="AF53" i="125"/>
  <c r="CA54" i="125"/>
  <c r="AF54" i="125" s="1"/>
  <c r="AF56" i="125"/>
  <c r="AF57" i="125"/>
  <c r="AF58" i="125"/>
  <c r="AF59" i="125"/>
  <c r="AF60" i="125"/>
  <c r="AF61" i="125"/>
  <c r="AF62" i="125"/>
  <c r="AF63" i="125"/>
  <c r="AF65" i="125"/>
  <c r="CA66" i="125"/>
  <c r="AF66" i="125" s="1"/>
  <c r="AF67" i="125"/>
  <c r="AF69" i="125"/>
  <c r="AF70" i="125"/>
  <c r="AF71" i="125" s="1"/>
  <c r="AF73" i="125"/>
  <c r="AF74" i="125"/>
  <c r="AF75" i="125"/>
  <c r="AF76" i="125"/>
  <c r="AF77" i="125"/>
  <c r="AF78" i="125"/>
  <c r="AF80" i="125"/>
  <c r="AF81" i="125"/>
  <c r="CA82" i="125"/>
  <c r="AF82" i="125" s="1"/>
  <c r="AF83" i="125"/>
  <c r="AF84" i="125"/>
  <c r="AF85" i="125"/>
  <c r="AF87" i="125"/>
  <c r="AF89" i="125"/>
  <c r="AF90" i="125"/>
  <c r="AF91" i="125"/>
  <c r="AF92" i="125"/>
  <c r="BV31" i="125"/>
  <c r="AG31" i="125" s="1"/>
  <c r="AG7" i="125"/>
  <c r="AG8" i="125"/>
  <c r="AG9" i="125"/>
  <c r="AG10" i="125"/>
  <c r="AG11" i="125"/>
  <c r="AG12" i="125"/>
  <c r="AG13" i="125"/>
  <c r="BV14" i="125"/>
  <c r="AG16" i="125"/>
  <c r="AG17" i="125"/>
  <c r="AG18" i="125"/>
  <c r="AG19" i="125"/>
  <c r="AG20" i="125"/>
  <c r="AG118" i="125"/>
  <c r="AG21" i="125" s="1"/>
  <c r="AG23" i="125"/>
  <c r="AG24" i="125"/>
  <c r="AG25" i="125"/>
  <c r="AG26" i="125"/>
  <c r="AG27" i="125"/>
  <c r="AG28" i="125"/>
  <c r="AG29" i="125"/>
  <c r="BV30" i="125"/>
  <c r="AG30" i="125" s="1"/>
  <c r="AG32" i="125"/>
  <c r="BV33" i="125"/>
  <c r="AG33" i="125"/>
  <c r="AG35" i="125"/>
  <c r="AG36" i="125"/>
  <c r="AG37" i="125"/>
  <c r="AG38" i="125"/>
  <c r="AG39" i="125"/>
  <c r="AG41" i="125"/>
  <c r="AG42" i="125"/>
  <c r="AG43" i="125"/>
  <c r="AG44" i="125"/>
  <c r="AG45" i="125"/>
  <c r="AG46" i="125"/>
  <c r="AG47" i="125"/>
  <c r="AG48" i="125"/>
  <c r="AG49" i="125"/>
  <c r="AG50" i="125"/>
  <c r="BV51" i="125"/>
  <c r="AG51" i="125" s="1"/>
  <c r="BV52" i="125"/>
  <c r="AG52" i="125"/>
  <c r="BV53" i="125"/>
  <c r="AG53" i="125" s="1"/>
  <c r="BV54" i="125"/>
  <c r="AG54" i="125" s="1"/>
  <c r="AG56" i="125"/>
  <c r="AG57" i="125"/>
  <c r="AG58" i="125"/>
  <c r="AG59" i="125"/>
  <c r="AG60" i="125"/>
  <c r="AG61" i="125"/>
  <c r="AG62" i="125"/>
  <c r="AG63" i="125"/>
  <c r="AG65" i="125"/>
  <c r="BV66" i="125"/>
  <c r="AG66" i="125"/>
  <c r="AG67" i="125"/>
  <c r="AG69" i="125"/>
  <c r="AG70" i="125"/>
  <c r="AG71" i="125" s="1"/>
  <c r="AG73" i="125"/>
  <c r="AG74" i="125"/>
  <c r="AG75" i="125"/>
  <c r="AG76" i="125"/>
  <c r="AG77" i="125"/>
  <c r="AG78" i="125"/>
  <c r="AG80" i="125"/>
  <c r="AG81" i="125"/>
  <c r="BV82" i="125"/>
  <c r="AG82" i="125" s="1"/>
  <c r="AG83" i="125"/>
  <c r="AG84" i="125"/>
  <c r="AG85" i="125"/>
  <c r="AG87" i="125"/>
  <c r="AG89" i="125"/>
  <c r="AG90" i="125"/>
  <c r="AG91" i="125"/>
  <c r="AG92" i="125"/>
  <c r="BZ31" i="125"/>
  <c r="AH31" i="125"/>
  <c r="AH7" i="125"/>
  <c r="AH8" i="125"/>
  <c r="AH9" i="125"/>
  <c r="AH10" i="125"/>
  <c r="AH11" i="125"/>
  <c r="AH12" i="125"/>
  <c r="AH13" i="125"/>
  <c r="BZ14" i="125"/>
  <c r="AH14" i="125" s="1"/>
  <c r="AH16" i="125"/>
  <c r="AH17" i="125"/>
  <c r="AH18" i="125"/>
  <c r="AH19" i="125"/>
  <c r="AH20" i="125"/>
  <c r="AH118" i="125"/>
  <c r="AH21" i="125"/>
  <c r="AH23" i="125"/>
  <c r="AH24" i="125"/>
  <c r="AH25" i="125"/>
  <c r="AH26" i="125"/>
  <c r="AH27" i="125"/>
  <c r="AH28" i="125"/>
  <c r="AH29" i="125"/>
  <c r="BZ30" i="125"/>
  <c r="AH30" i="125"/>
  <c r="AH32" i="125"/>
  <c r="BZ33" i="125"/>
  <c r="AH33" i="125"/>
  <c r="AH35" i="125"/>
  <c r="AH36" i="125"/>
  <c r="AH37" i="125"/>
  <c r="AH38" i="125"/>
  <c r="AH39" i="125"/>
  <c r="AH41" i="125"/>
  <c r="AH42" i="125"/>
  <c r="AH43" i="125"/>
  <c r="AH44" i="125"/>
  <c r="AH45" i="125"/>
  <c r="AH46" i="125"/>
  <c r="AH47" i="125"/>
  <c r="AH48" i="125"/>
  <c r="AH49" i="125"/>
  <c r="AH50" i="125"/>
  <c r="BZ51" i="125"/>
  <c r="AH51" i="125"/>
  <c r="BZ52" i="125"/>
  <c r="BZ54" i="125"/>
  <c r="AH54" i="125"/>
  <c r="AH56" i="125"/>
  <c r="AH57" i="125"/>
  <c r="AH58" i="125"/>
  <c r="AH59" i="125"/>
  <c r="AH60" i="125"/>
  <c r="AH61" i="125"/>
  <c r="AH62" i="125"/>
  <c r="AH63" i="125"/>
  <c r="AH65" i="125"/>
  <c r="BZ66" i="125"/>
  <c r="AH66" i="125" s="1"/>
  <c r="AH67" i="125"/>
  <c r="AH69" i="125"/>
  <c r="AH70" i="125"/>
  <c r="AH71" i="125"/>
  <c r="AH73" i="125"/>
  <c r="AH74" i="125"/>
  <c r="AH75" i="125"/>
  <c r="AH76" i="125"/>
  <c r="AH77" i="125"/>
  <c r="AH78" i="125"/>
  <c r="AH80" i="125"/>
  <c r="AH81" i="125"/>
  <c r="BZ82" i="125"/>
  <c r="AH82" i="125"/>
  <c r="AH83" i="125"/>
  <c r="AH84" i="125"/>
  <c r="AH85" i="125"/>
  <c r="AH87" i="125"/>
  <c r="AH89" i="125"/>
  <c r="AH90" i="125"/>
  <c r="AH91" i="125"/>
  <c r="AH92" i="125"/>
  <c r="BW31" i="125"/>
  <c r="AI31" i="125" s="1"/>
  <c r="AI7" i="125"/>
  <c r="AI8" i="125"/>
  <c r="AI9" i="125"/>
  <c r="AI10" i="125"/>
  <c r="AI11" i="125"/>
  <c r="AI12" i="125"/>
  <c r="AI13" i="125"/>
  <c r="BW14" i="125"/>
  <c r="AI14" i="125"/>
  <c r="AI16" i="125"/>
  <c r="AI17" i="125"/>
  <c r="AI18" i="125"/>
  <c r="AI19" i="125"/>
  <c r="AI20" i="125"/>
  <c r="AI118" i="125"/>
  <c r="AI21" i="125" s="1"/>
  <c r="AI23" i="125"/>
  <c r="AI24" i="125"/>
  <c r="AI25" i="125"/>
  <c r="AI26" i="125"/>
  <c r="AI27" i="125"/>
  <c r="AI28" i="125"/>
  <c r="AI29" i="125"/>
  <c r="BW30" i="125"/>
  <c r="AI30" i="125" s="1"/>
  <c r="AI32" i="125"/>
  <c r="BW33" i="125"/>
  <c r="AI33" i="125"/>
  <c r="AI35" i="125"/>
  <c r="AI36" i="125"/>
  <c r="AI37" i="125"/>
  <c r="AI38" i="125"/>
  <c r="AI39" i="125"/>
  <c r="AI41" i="125"/>
  <c r="AI42" i="125"/>
  <c r="AI43" i="125"/>
  <c r="AI44" i="125"/>
  <c r="AI45" i="125"/>
  <c r="AI46" i="125"/>
  <c r="AI47" i="125"/>
  <c r="AI48" i="125"/>
  <c r="AI49" i="125"/>
  <c r="AI50" i="125"/>
  <c r="BW51" i="125"/>
  <c r="AI51" i="125" s="1"/>
  <c r="BW52" i="125"/>
  <c r="AI52" i="125" s="1"/>
  <c r="BW53" i="125"/>
  <c r="AI53" i="125"/>
  <c r="BW54" i="125"/>
  <c r="AI54" i="125" s="1"/>
  <c r="AI56" i="125"/>
  <c r="AI57" i="125"/>
  <c r="AI58" i="125"/>
  <c r="AI59" i="125"/>
  <c r="AI60" i="125"/>
  <c r="AI61" i="125"/>
  <c r="AI62" i="125"/>
  <c r="AI63" i="125"/>
  <c r="BW66" i="125"/>
  <c r="AI66" i="125" s="1"/>
  <c r="AI67" i="125"/>
  <c r="AI69" i="125"/>
  <c r="AI70" i="125"/>
  <c r="AI71" i="125" s="1"/>
  <c r="AI73" i="125"/>
  <c r="AI74" i="125"/>
  <c r="AI75" i="125"/>
  <c r="AI76" i="125"/>
  <c r="AI77" i="125"/>
  <c r="AI78" i="125"/>
  <c r="AI80" i="125"/>
  <c r="AI81" i="125"/>
  <c r="BW82" i="125"/>
  <c r="AI82" i="125" s="1"/>
  <c r="AI83" i="125"/>
  <c r="AI84" i="125"/>
  <c r="AI85" i="125"/>
  <c r="AI87" i="125"/>
  <c r="AI89" i="125"/>
  <c r="AI90" i="125"/>
  <c r="AI91" i="125"/>
  <c r="AI92" i="125"/>
  <c r="BY31" i="125"/>
  <c r="AJ31" i="125" s="1"/>
  <c r="AJ7" i="125"/>
  <c r="AJ8" i="125"/>
  <c r="AJ9" i="125"/>
  <c r="AJ10" i="125"/>
  <c r="AJ11" i="125"/>
  <c r="AJ12" i="125"/>
  <c r="AJ13" i="125"/>
  <c r="BY14" i="125"/>
  <c r="AJ14" i="125"/>
  <c r="AJ16" i="125"/>
  <c r="AJ17" i="125"/>
  <c r="AJ18" i="125"/>
  <c r="AJ19" i="125"/>
  <c r="AJ20" i="125"/>
  <c r="AJ118" i="125"/>
  <c r="AJ21" i="125"/>
  <c r="AJ23" i="125"/>
  <c r="AJ24" i="125"/>
  <c r="AJ25" i="125"/>
  <c r="AJ26" i="125"/>
  <c r="AJ27" i="125"/>
  <c r="AJ28" i="125"/>
  <c r="AJ29" i="125"/>
  <c r="BY30" i="125"/>
  <c r="AJ30" i="125" s="1"/>
  <c r="AJ32" i="125"/>
  <c r="BY33" i="125"/>
  <c r="AJ33" i="125" s="1"/>
  <c r="AJ35" i="125"/>
  <c r="AJ36" i="125"/>
  <c r="AJ37" i="125"/>
  <c r="AJ38" i="125"/>
  <c r="AJ39" i="125"/>
  <c r="AJ41" i="125"/>
  <c r="AJ42" i="125"/>
  <c r="AJ43" i="125"/>
  <c r="AJ44" i="125"/>
  <c r="AJ45" i="125"/>
  <c r="AJ46" i="125"/>
  <c r="AJ47" i="125"/>
  <c r="AJ48" i="125"/>
  <c r="AJ49" i="125"/>
  <c r="AJ50" i="125"/>
  <c r="BY51" i="125"/>
  <c r="AJ51" i="125" s="1"/>
  <c r="BY52" i="125"/>
  <c r="BY53" i="125" s="1"/>
  <c r="AJ53" i="125" s="1"/>
  <c r="AJ52" i="125"/>
  <c r="BY54" i="125"/>
  <c r="AJ54" i="125"/>
  <c r="AJ56" i="125"/>
  <c r="AJ57" i="125"/>
  <c r="AJ58" i="125"/>
  <c r="AJ59" i="125"/>
  <c r="AJ60" i="125"/>
  <c r="AJ61" i="125"/>
  <c r="AJ62" i="125"/>
  <c r="AJ63" i="125"/>
  <c r="AJ65" i="125"/>
  <c r="BY66" i="125"/>
  <c r="AJ66" i="125"/>
  <c r="AJ67" i="125"/>
  <c r="AJ69" i="125"/>
  <c r="AJ70" i="125"/>
  <c r="AJ71" i="125"/>
  <c r="AJ73" i="125"/>
  <c r="AJ74" i="125"/>
  <c r="AJ75" i="125"/>
  <c r="AJ76" i="125"/>
  <c r="AJ77" i="125"/>
  <c r="AJ78" i="125"/>
  <c r="AJ80" i="125"/>
  <c r="AJ81" i="125"/>
  <c r="BY82" i="125"/>
  <c r="AJ82" i="125"/>
  <c r="AJ83" i="125"/>
  <c r="AJ84" i="125"/>
  <c r="AJ85" i="125"/>
  <c r="AJ87" i="125"/>
  <c r="AJ89" i="125"/>
  <c r="AJ90" i="125"/>
  <c r="AJ91" i="125"/>
  <c r="AJ92" i="125"/>
  <c r="CB31" i="125"/>
  <c r="AK31" i="125"/>
  <c r="AK7" i="125"/>
  <c r="AK8" i="125"/>
  <c r="AK9" i="125"/>
  <c r="AK10" i="125"/>
  <c r="AK11" i="125"/>
  <c r="AK107" i="125" s="1"/>
  <c r="AK12" i="125"/>
  <c r="AK13" i="125"/>
  <c r="CB14" i="125"/>
  <c r="AK14" i="125"/>
  <c r="AK16" i="125"/>
  <c r="AK17" i="125"/>
  <c r="AK18" i="125"/>
  <c r="AK19" i="125"/>
  <c r="AK20" i="125"/>
  <c r="AK118" i="125"/>
  <c r="AK21" i="125" s="1"/>
  <c r="AK23" i="125"/>
  <c r="AK24" i="125"/>
  <c r="AK25" i="125"/>
  <c r="AK26" i="125"/>
  <c r="AK27" i="125"/>
  <c r="AK28" i="125"/>
  <c r="AK29" i="125"/>
  <c r="CB30" i="125"/>
  <c r="AK30" i="125"/>
  <c r="AK32" i="125"/>
  <c r="CB33" i="125"/>
  <c r="AK33" i="125" s="1"/>
  <c r="AK35" i="125"/>
  <c r="AK36" i="125"/>
  <c r="AK37" i="125"/>
  <c r="AK38" i="125"/>
  <c r="AK39" i="125"/>
  <c r="AK41" i="125"/>
  <c r="AK42" i="125"/>
  <c r="AK43" i="125"/>
  <c r="AK44" i="125"/>
  <c r="AK45" i="125"/>
  <c r="AK46" i="125"/>
  <c r="AK47" i="125"/>
  <c r="AK48" i="125"/>
  <c r="AK49" i="125"/>
  <c r="AK50" i="125"/>
  <c r="CB51" i="125"/>
  <c r="AK51" i="125"/>
  <c r="CB52" i="125"/>
  <c r="CB53" i="125" s="1"/>
  <c r="AK53" i="125" s="1"/>
  <c r="AK52" i="125"/>
  <c r="CB54" i="125"/>
  <c r="AK54" i="125" s="1"/>
  <c r="AK56" i="125"/>
  <c r="AK57" i="125"/>
  <c r="AK58" i="125"/>
  <c r="AK59" i="125"/>
  <c r="AK60" i="125"/>
  <c r="AK61" i="125"/>
  <c r="AK62" i="125"/>
  <c r="AK63" i="125"/>
  <c r="AK65" i="125"/>
  <c r="CB66" i="125"/>
  <c r="AK66" i="125"/>
  <c r="AK67" i="125"/>
  <c r="AK69" i="125"/>
  <c r="AK70" i="125"/>
  <c r="AK71" i="125" s="1"/>
  <c r="AK73" i="125"/>
  <c r="AK74" i="125"/>
  <c r="AK75" i="125"/>
  <c r="AK76" i="125"/>
  <c r="AK77" i="125"/>
  <c r="AK78" i="125"/>
  <c r="AK80" i="125"/>
  <c r="AK81" i="125"/>
  <c r="CB82" i="125"/>
  <c r="AK82" i="125" s="1"/>
  <c r="AK83" i="125"/>
  <c r="AK84" i="125"/>
  <c r="AK85" i="125"/>
  <c r="AK87" i="125"/>
  <c r="AK89" i="125"/>
  <c r="AK90" i="125"/>
  <c r="AK91" i="125"/>
  <c r="AK92" i="125"/>
  <c r="CE31" i="125"/>
  <c r="AL31" i="125"/>
  <c r="AL7" i="125"/>
  <c r="AL8" i="125"/>
  <c r="AL9" i="125"/>
  <c r="AL10" i="125"/>
  <c r="AL11" i="125"/>
  <c r="AL12" i="125"/>
  <c r="AL13" i="125"/>
  <c r="CE14" i="125"/>
  <c r="AL16" i="125"/>
  <c r="AL17" i="125"/>
  <c r="AL18" i="125"/>
  <c r="AL19" i="125"/>
  <c r="AL20" i="125"/>
  <c r="AL118" i="125"/>
  <c r="AL21" i="125" s="1"/>
  <c r="AL23" i="125"/>
  <c r="AL24" i="125"/>
  <c r="AL25" i="125"/>
  <c r="AL26" i="125"/>
  <c r="AL27" i="125"/>
  <c r="AL28" i="125"/>
  <c r="AL29" i="125"/>
  <c r="CE30" i="125"/>
  <c r="AL30" i="125"/>
  <c r="AL32" i="125"/>
  <c r="CE33" i="125"/>
  <c r="AL33" i="125"/>
  <c r="AL35" i="125"/>
  <c r="AL36" i="125"/>
  <c r="AL37" i="125"/>
  <c r="AL38" i="125"/>
  <c r="AL39" i="125"/>
  <c r="AL41" i="125"/>
  <c r="AL42" i="125"/>
  <c r="AL43" i="125"/>
  <c r="AL44" i="125"/>
  <c r="AL45" i="125"/>
  <c r="AL46" i="125"/>
  <c r="AL47" i="125"/>
  <c r="AL48" i="125"/>
  <c r="AL49" i="125"/>
  <c r="AL50" i="125"/>
  <c r="CE51" i="125"/>
  <c r="AL51" i="125" s="1"/>
  <c r="CE52" i="125"/>
  <c r="AL52" i="125"/>
  <c r="CE53" i="125"/>
  <c r="AL53" i="125" s="1"/>
  <c r="CE54" i="125"/>
  <c r="AL54" i="125" s="1"/>
  <c r="AL56" i="125"/>
  <c r="AL57" i="125"/>
  <c r="AL58" i="125"/>
  <c r="AL59" i="125"/>
  <c r="AL60" i="125"/>
  <c r="AL61" i="125"/>
  <c r="AL62" i="125"/>
  <c r="AL63" i="125"/>
  <c r="AL65" i="125"/>
  <c r="CE66" i="125"/>
  <c r="AL66" i="125"/>
  <c r="AL67" i="125"/>
  <c r="AL69" i="125"/>
  <c r="AL70" i="125"/>
  <c r="AL71" i="125" s="1"/>
  <c r="AL73" i="125"/>
  <c r="AL74" i="125"/>
  <c r="AL75" i="125"/>
  <c r="AL76" i="125"/>
  <c r="AL77" i="125"/>
  <c r="AL78" i="125"/>
  <c r="AL80" i="125"/>
  <c r="AL81" i="125"/>
  <c r="CE82" i="125"/>
  <c r="AL82" i="125" s="1"/>
  <c r="AL83" i="125"/>
  <c r="AL84" i="125"/>
  <c r="AL85" i="125"/>
  <c r="AL87" i="125"/>
  <c r="AL89" i="125"/>
  <c r="AL90" i="125"/>
  <c r="AL91" i="125"/>
  <c r="AL92" i="125"/>
  <c r="CH31" i="125"/>
  <c r="AM31" i="125"/>
  <c r="AM7" i="125"/>
  <c r="AM8" i="125"/>
  <c r="AM9" i="125"/>
  <c r="AM10" i="125"/>
  <c r="AM11" i="125"/>
  <c r="AM12" i="125"/>
  <c r="AM13" i="125"/>
  <c r="CH14" i="125"/>
  <c r="AM14" i="125" s="1"/>
  <c r="AM16" i="125"/>
  <c r="AM17" i="125"/>
  <c r="AM18" i="125"/>
  <c r="AM19" i="125"/>
  <c r="AM20" i="125"/>
  <c r="AM118" i="125"/>
  <c r="AM21" i="125"/>
  <c r="AM23" i="125"/>
  <c r="AM24" i="125"/>
  <c r="AM25" i="125"/>
  <c r="AM26" i="125"/>
  <c r="AM27" i="125"/>
  <c r="AM28" i="125"/>
  <c r="AM29" i="125"/>
  <c r="CH30" i="125"/>
  <c r="AM30" i="125"/>
  <c r="AM32" i="125"/>
  <c r="CH33" i="125"/>
  <c r="AM33" i="125"/>
  <c r="AM35" i="125"/>
  <c r="AM36" i="125"/>
  <c r="AM37" i="125"/>
  <c r="AM38" i="125"/>
  <c r="AM39" i="125"/>
  <c r="AM41" i="125"/>
  <c r="AM42" i="125"/>
  <c r="AM43" i="125"/>
  <c r="AM44" i="125"/>
  <c r="AM45" i="125"/>
  <c r="AM46" i="125"/>
  <c r="AM47" i="125"/>
  <c r="AM48" i="125"/>
  <c r="AM49" i="125"/>
  <c r="AM50" i="125"/>
  <c r="CH51" i="125"/>
  <c r="AM51" i="125"/>
  <c r="CH52" i="125"/>
  <c r="CH54" i="125"/>
  <c r="AM54" i="125"/>
  <c r="AM56" i="125"/>
  <c r="AM57" i="125"/>
  <c r="AM58" i="125"/>
  <c r="AM59" i="125"/>
  <c r="AM60" i="125"/>
  <c r="AM61" i="125"/>
  <c r="AM62" i="125"/>
  <c r="AM63" i="125"/>
  <c r="AM65" i="125"/>
  <c r="AM66" i="125"/>
  <c r="AM67" i="125"/>
  <c r="AM69" i="125"/>
  <c r="AM70" i="125"/>
  <c r="AM71" i="125"/>
  <c r="AM73" i="125"/>
  <c r="AM74" i="125"/>
  <c r="AM75" i="125"/>
  <c r="AM76" i="125"/>
  <c r="AM77" i="125"/>
  <c r="AM78" i="125"/>
  <c r="AM80" i="125"/>
  <c r="AM81" i="125"/>
  <c r="CH82" i="125"/>
  <c r="AM82" i="125"/>
  <c r="AM83" i="125"/>
  <c r="AM84" i="125"/>
  <c r="AM85" i="125"/>
  <c r="AM87" i="125"/>
  <c r="AM89" i="125"/>
  <c r="AM90" i="125"/>
  <c r="AM91" i="125"/>
  <c r="AM92" i="125"/>
  <c r="CJ31" i="125"/>
  <c r="AN31" i="125"/>
  <c r="AN7" i="125"/>
  <c r="AN8" i="125"/>
  <c r="AN9" i="125"/>
  <c r="AN10" i="125"/>
  <c r="AN11" i="125"/>
  <c r="AN107" i="125" s="1"/>
  <c r="AN12" i="125"/>
  <c r="AN13" i="125"/>
  <c r="CJ14" i="125"/>
  <c r="AN14" i="125"/>
  <c r="AN16" i="125"/>
  <c r="AN17" i="125"/>
  <c r="AN18" i="125"/>
  <c r="AN19" i="125"/>
  <c r="AN20" i="125"/>
  <c r="AN118" i="125"/>
  <c r="AN21" i="125" s="1"/>
  <c r="AN23" i="125"/>
  <c r="AN24" i="125"/>
  <c r="AN25" i="125"/>
  <c r="AN26" i="125"/>
  <c r="AN27" i="125"/>
  <c r="AN28" i="125"/>
  <c r="AN29" i="125"/>
  <c r="CJ30" i="125"/>
  <c r="AN30" i="125"/>
  <c r="AN32" i="125"/>
  <c r="CJ33" i="125"/>
  <c r="AN33" i="125" s="1"/>
  <c r="AN35" i="125"/>
  <c r="AN36" i="125"/>
  <c r="AN37" i="125"/>
  <c r="AN38" i="125"/>
  <c r="AN39" i="125"/>
  <c r="AN41" i="125"/>
  <c r="AN42" i="125"/>
  <c r="AN43" i="125"/>
  <c r="AN44" i="125"/>
  <c r="AN45" i="125"/>
  <c r="AN46" i="125"/>
  <c r="AN47" i="125"/>
  <c r="AN48" i="125"/>
  <c r="AN49" i="125"/>
  <c r="AN50" i="125"/>
  <c r="CJ51" i="125"/>
  <c r="AN51" i="125"/>
  <c r="CJ52" i="125"/>
  <c r="AN52" i="125" s="1"/>
  <c r="CJ53" i="125"/>
  <c r="AN53" i="125"/>
  <c r="CJ54" i="125"/>
  <c r="AN54" i="125" s="1"/>
  <c r="AN56" i="125"/>
  <c r="AN57" i="125"/>
  <c r="AN58" i="125"/>
  <c r="AN59" i="125"/>
  <c r="AN60" i="125"/>
  <c r="AN61" i="125"/>
  <c r="AN62" i="125"/>
  <c r="AN63" i="125"/>
  <c r="AN65" i="125"/>
  <c r="CJ66" i="125"/>
  <c r="AN66" i="125" s="1"/>
  <c r="AN67" i="125"/>
  <c r="AN69" i="125"/>
  <c r="AN70" i="125"/>
  <c r="AN71" i="125" s="1"/>
  <c r="AN73" i="125"/>
  <c r="AN74" i="125"/>
  <c r="AN75" i="125"/>
  <c r="AN76" i="125"/>
  <c r="AN77" i="125"/>
  <c r="AN78" i="125"/>
  <c r="AN80" i="125"/>
  <c r="AN81" i="125"/>
  <c r="CJ82" i="125"/>
  <c r="AN82" i="125" s="1"/>
  <c r="AN83" i="125"/>
  <c r="AN84" i="125"/>
  <c r="AN85" i="125"/>
  <c r="AN87" i="125"/>
  <c r="AN89" i="125"/>
  <c r="AN90" i="125"/>
  <c r="AN91" i="125"/>
  <c r="AN92" i="125"/>
  <c r="CC31" i="125"/>
  <c r="AO31" i="125"/>
  <c r="AO7" i="125"/>
  <c r="AO8" i="125"/>
  <c r="AO9" i="125"/>
  <c r="AO10" i="125"/>
  <c r="AO11" i="125"/>
  <c r="AO12" i="125"/>
  <c r="AO13" i="125"/>
  <c r="CC14" i="125"/>
  <c r="AO14" i="125" s="1"/>
  <c r="AO16" i="125"/>
  <c r="AO17" i="125"/>
  <c r="AO18" i="125"/>
  <c r="AO19" i="125"/>
  <c r="AO20" i="125"/>
  <c r="AO118" i="125"/>
  <c r="AO21" i="125" s="1"/>
  <c r="AO23" i="125"/>
  <c r="AO24" i="125"/>
  <c r="AO25" i="125"/>
  <c r="AO26" i="125"/>
  <c r="AO27" i="125"/>
  <c r="AO28" i="125"/>
  <c r="AO29" i="125"/>
  <c r="CC30" i="125"/>
  <c r="AO30" i="125" s="1"/>
  <c r="AO32" i="125"/>
  <c r="CC33" i="125"/>
  <c r="AO33" i="125"/>
  <c r="AO35" i="125"/>
  <c r="AO36" i="125"/>
  <c r="AO37" i="125"/>
  <c r="AO38" i="125"/>
  <c r="AO39" i="125"/>
  <c r="AO41" i="125"/>
  <c r="AO42" i="125"/>
  <c r="AO43" i="125"/>
  <c r="AO44" i="125"/>
  <c r="AO45" i="125"/>
  <c r="AO46" i="125"/>
  <c r="AO47" i="125"/>
  <c r="AO48" i="125"/>
  <c r="AO49" i="125"/>
  <c r="AO50" i="125"/>
  <c r="CC51" i="125"/>
  <c r="AO51" i="125" s="1"/>
  <c r="CC52" i="125"/>
  <c r="AO52" i="125"/>
  <c r="CC53" i="125"/>
  <c r="AO53" i="125" s="1"/>
  <c r="CC54" i="125"/>
  <c r="AO54" i="125" s="1"/>
  <c r="AO56" i="125"/>
  <c r="AO57" i="125"/>
  <c r="AO58" i="125"/>
  <c r="AO59" i="125"/>
  <c r="AO60" i="125"/>
  <c r="AO61" i="125"/>
  <c r="AO62" i="125"/>
  <c r="AO63" i="125"/>
  <c r="AO65" i="125"/>
  <c r="CC66" i="125"/>
  <c r="AO66" i="125"/>
  <c r="AO67" i="125"/>
  <c r="AO69" i="125"/>
  <c r="AO70" i="125"/>
  <c r="AO71" i="125" s="1"/>
  <c r="AO73" i="125"/>
  <c r="AO74" i="125"/>
  <c r="AO75" i="125"/>
  <c r="AO76" i="125"/>
  <c r="AO77" i="125"/>
  <c r="AO78" i="125"/>
  <c r="AO80" i="125"/>
  <c r="AO81" i="125"/>
  <c r="CC82" i="125"/>
  <c r="AO82" i="125" s="1"/>
  <c r="AO83" i="125"/>
  <c r="AO84" i="125"/>
  <c r="AO85" i="125"/>
  <c r="AO87" i="125"/>
  <c r="AO89" i="125"/>
  <c r="AO90" i="125"/>
  <c r="AO91" i="125"/>
  <c r="AO92" i="125"/>
  <c r="CD31" i="125"/>
  <c r="AP31" i="125"/>
  <c r="AP7" i="125"/>
  <c r="AP8" i="125"/>
  <c r="AP9" i="125"/>
  <c r="AP10" i="125"/>
  <c r="AP11" i="125"/>
  <c r="AP12" i="125"/>
  <c r="AP13" i="125"/>
  <c r="CD14" i="125"/>
  <c r="AP14" i="125"/>
  <c r="AP16" i="125"/>
  <c r="AP17" i="125"/>
  <c r="AP18" i="125"/>
  <c r="AP19" i="125"/>
  <c r="AP20" i="125"/>
  <c r="AP118" i="125"/>
  <c r="AP21" i="125"/>
  <c r="AP23" i="125"/>
  <c r="AP24" i="125"/>
  <c r="AP25" i="125"/>
  <c r="AP26" i="125"/>
  <c r="AP27" i="125"/>
  <c r="AP28" i="125"/>
  <c r="AP29" i="125"/>
  <c r="CD30" i="125"/>
  <c r="AP30" i="125"/>
  <c r="AP32" i="125"/>
  <c r="CD33" i="125"/>
  <c r="AP33" i="125" s="1"/>
  <c r="AP35" i="125"/>
  <c r="AP36" i="125"/>
  <c r="AP37" i="125"/>
  <c r="AP38" i="125"/>
  <c r="AP39" i="125"/>
  <c r="AP41" i="125"/>
  <c r="AP42" i="125"/>
  <c r="AP43" i="125"/>
  <c r="AP44" i="125"/>
  <c r="AP45" i="125"/>
  <c r="AP46" i="125"/>
  <c r="AP47" i="125"/>
  <c r="AP48" i="125"/>
  <c r="AP49" i="125"/>
  <c r="AP50" i="125"/>
  <c r="CD51" i="125"/>
  <c r="AP51" i="125"/>
  <c r="CD52" i="125"/>
  <c r="CD54" i="125"/>
  <c r="AP54" i="125"/>
  <c r="AP56" i="125"/>
  <c r="AP57" i="125"/>
  <c r="AP58" i="125"/>
  <c r="AP59" i="125"/>
  <c r="AP60" i="125"/>
  <c r="AP61" i="125"/>
  <c r="AP62" i="125"/>
  <c r="AP63" i="125"/>
  <c r="AP65" i="125"/>
  <c r="CD66" i="125"/>
  <c r="AP67" i="125"/>
  <c r="AP69" i="125"/>
  <c r="AP70" i="125"/>
  <c r="AP71" i="125"/>
  <c r="AP73" i="125"/>
  <c r="AP74" i="125"/>
  <c r="AP75" i="125"/>
  <c r="AP76" i="125"/>
  <c r="AP77" i="125"/>
  <c r="AP78" i="125"/>
  <c r="AP80" i="125"/>
  <c r="AP81" i="125"/>
  <c r="CD82" i="125"/>
  <c r="AP82" i="125"/>
  <c r="AP83" i="125"/>
  <c r="AP84" i="125"/>
  <c r="AP85" i="125"/>
  <c r="AP87" i="125"/>
  <c r="AP89" i="125"/>
  <c r="AP90" i="125"/>
  <c r="AP91" i="125"/>
  <c r="AP92" i="125"/>
  <c r="CK31" i="125"/>
  <c r="AQ31" i="125" s="1"/>
  <c r="AQ7" i="125"/>
  <c r="AQ8" i="125"/>
  <c r="AQ9" i="125"/>
  <c r="AQ10" i="125"/>
  <c r="AQ11" i="125"/>
  <c r="AQ12" i="125"/>
  <c r="AQ13" i="125"/>
  <c r="CK14" i="125"/>
  <c r="AQ14" i="125"/>
  <c r="AQ16" i="125"/>
  <c r="AQ17" i="125"/>
  <c r="AQ18" i="125"/>
  <c r="AQ19" i="125"/>
  <c r="AQ20" i="125"/>
  <c r="AQ118" i="125"/>
  <c r="AQ21" i="125" s="1"/>
  <c r="AQ23" i="125"/>
  <c r="AQ24" i="125"/>
  <c r="AQ25" i="125"/>
  <c r="AQ26" i="125"/>
  <c r="AQ27" i="125"/>
  <c r="AQ28" i="125"/>
  <c r="AQ29" i="125"/>
  <c r="CK30" i="125"/>
  <c r="AQ30" i="125" s="1"/>
  <c r="AQ32" i="125"/>
  <c r="CK33" i="125"/>
  <c r="AQ33" i="125"/>
  <c r="AQ35" i="125"/>
  <c r="AQ36" i="125"/>
  <c r="AQ37" i="125"/>
  <c r="AQ38" i="125"/>
  <c r="AQ39" i="125"/>
  <c r="AQ41" i="125"/>
  <c r="AQ42" i="125"/>
  <c r="AQ43" i="125"/>
  <c r="AQ44" i="125"/>
  <c r="AQ45" i="125"/>
  <c r="AQ46" i="125"/>
  <c r="AQ47" i="125"/>
  <c r="AQ48" i="125"/>
  <c r="AQ49" i="125"/>
  <c r="AQ50" i="125"/>
  <c r="CK51" i="125"/>
  <c r="AQ51" i="125" s="1"/>
  <c r="CK52" i="125"/>
  <c r="AQ52" i="125" s="1"/>
  <c r="CK53" i="125"/>
  <c r="AQ53" i="125"/>
  <c r="CK54" i="125"/>
  <c r="AQ54" i="125" s="1"/>
  <c r="AQ56" i="125"/>
  <c r="AQ57" i="125"/>
  <c r="AQ58" i="125"/>
  <c r="AQ59" i="125"/>
  <c r="AQ60" i="125"/>
  <c r="AQ61" i="125"/>
  <c r="AQ62" i="125"/>
  <c r="AQ63" i="125"/>
  <c r="AQ65" i="125"/>
  <c r="CK66" i="125"/>
  <c r="AQ66" i="125" s="1"/>
  <c r="AQ67" i="125"/>
  <c r="AQ69" i="125"/>
  <c r="AQ70" i="125"/>
  <c r="AQ73" i="125"/>
  <c r="AQ74" i="125"/>
  <c r="AQ75" i="125"/>
  <c r="AQ76" i="125"/>
  <c r="AQ77" i="125"/>
  <c r="AQ78" i="125"/>
  <c r="AQ80" i="125"/>
  <c r="AQ81" i="125"/>
  <c r="CK82" i="125"/>
  <c r="AQ82" i="125" s="1"/>
  <c r="AQ83" i="125"/>
  <c r="AQ84" i="125"/>
  <c r="AQ85" i="125"/>
  <c r="AQ87" i="125"/>
  <c r="AQ89" i="125"/>
  <c r="AQ90" i="125"/>
  <c r="AQ91" i="125"/>
  <c r="AQ92" i="125"/>
  <c r="CI31" i="125"/>
  <c r="AR31" i="125" s="1"/>
  <c r="AR7" i="125"/>
  <c r="AR8" i="125"/>
  <c r="AR9" i="125"/>
  <c r="AR10" i="125"/>
  <c r="AR11" i="125"/>
  <c r="AR12" i="125"/>
  <c r="AR13" i="125"/>
  <c r="CI14" i="125"/>
  <c r="AR14" i="125" s="1"/>
  <c r="AR16" i="125"/>
  <c r="AR17" i="125"/>
  <c r="AR18" i="125"/>
  <c r="AR19" i="125"/>
  <c r="AR20" i="125"/>
  <c r="AR118" i="125"/>
  <c r="AR21" i="125"/>
  <c r="AR23" i="125"/>
  <c r="AR24" i="125"/>
  <c r="AR25" i="125"/>
  <c r="AR26" i="125"/>
  <c r="AR27" i="125"/>
  <c r="AR28" i="125"/>
  <c r="AR29" i="125"/>
  <c r="CI30" i="125"/>
  <c r="AR30" i="125" s="1"/>
  <c r="AR32" i="125"/>
  <c r="CI33" i="125"/>
  <c r="AR33" i="125" s="1"/>
  <c r="AR35" i="125"/>
  <c r="AR36" i="125"/>
  <c r="AR37" i="125"/>
  <c r="AR38" i="125"/>
  <c r="AR39" i="125"/>
  <c r="AR41" i="125"/>
  <c r="AR42" i="125"/>
  <c r="AR43" i="125"/>
  <c r="AR44" i="125"/>
  <c r="AR45" i="125"/>
  <c r="AR46" i="125"/>
  <c r="AR47" i="125"/>
  <c r="AR48" i="125"/>
  <c r="AR49" i="125"/>
  <c r="AR50" i="125"/>
  <c r="CI51" i="125"/>
  <c r="AR51" i="125" s="1"/>
  <c r="CI52" i="125"/>
  <c r="CI53" i="125" s="1"/>
  <c r="AR53" i="125" s="1"/>
  <c r="AR52" i="125"/>
  <c r="CI54" i="125"/>
  <c r="AR54" i="125"/>
  <c r="AR56" i="125"/>
  <c r="AR57" i="125"/>
  <c r="AR58" i="125"/>
  <c r="AR59" i="125"/>
  <c r="AR60" i="125"/>
  <c r="AR61" i="125"/>
  <c r="AR62" i="125"/>
  <c r="AR63" i="125"/>
  <c r="AR65" i="125"/>
  <c r="CI66" i="125"/>
  <c r="AR66" i="125"/>
  <c r="AR67" i="125"/>
  <c r="AR69" i="125"/>
  <c r="AR70" i="125"/>
  <c r="AR71" i="125"/>
  <c r="AR73" i="125"/>
  <c r="AR74" i="125"/>
  <c r="AR75" i="125"/>
  <c r="AR76" i="125"/>
  <c r="AR77" i="125"/>
  <c r="AR78" i="125"/>
  <c r="AR80" i="125"/>
  <c r="AR81" i="125"/>
  <c r="CI82" i="125"/>
  <c r="AR82" i="125"/>
  <c r="AR83" i="125"/>
  <c r="AR84" i="125"/>
  <c r="AR85" i="125"/>
  <c r="AR87" i="125"/>
  <c r="AR89" i="125"/>
  <c r="AR90" i="125"/>
  <c r="AR91" i="125"/>
  <c r="AR92" i="125"/>
  <c r="CF31" i="125"/>
  <c r="AS31" i="125" s="1"/>
  <c r="CG31" i="125"/>
  <c r="AS23" i="125"/>
  <c r="AS7" i="125"/>
  <c r="AS8" i="125"/>
  <c r="AS9" i="125"/>
  <c r="AS10" i="125"/>
  <c r="AS11" i="125"/>
  <c r="AS12" i="125"/>
  <c r="AS13" i="125"/>
  <c r="AS14" i="125"/>
  <c r="AS16" i="125"/>
  <c r="AS17" i="125"/>
  <c r="AS18" i="125"/>
  <c r="AS19" i="125"/>
  <c r="AS20" i="125"/>
  <c r="AS21" i="125" s="1"/>
  <c r="AS118" i="125"/>
  <c r="AS24" i="125"/>
  <c r="AS25" i="125"/>
  <c r="AS26" i="125"/>
  <c r="AS27" i="125"/>
  <c r="AS28" i="125"/>
  <c r="AS29" i="125"/>
  <c r="AS35" i="125"/>
  <c r="AS50" i="125" s="1"/>
  <c r="AS30" i="125"/>
  <c r="AS32" i="125"/>
  <c r="AS33" i="125"/>
  <c r="AS36" i="125"/>
  <c r="AS37" i="125"/>
  <c r="AS38" i="125"/>
  <c r="AS39" i="125"/>
  <c r="AS41" i="125"/>
  <c r="AS42" i="125"/>
  <c r="AS43" i="125"/>
  <c r="AS44" i="125"/>
  <c r="AS45" i="125"/>
  <c r="AS47" i="125" s="1"/>
  <c r="AS46" i="125"/>
  <c r="AS48" i="125"/>
  <c r="AS49" i="125"/>
  <c r="AS95" i="125"/>
  <c r="AS51" i="125" s="1"/>
  <c r="CF52" i="125"/>
  <c r="AS52" i="125" s="1"/>
  <c r="AS53" i="125" s="1"/>
  <c r="CG52" i="125"/>
  <c r="CG53" i="125" s="1"/>
  <c r="AS98" i="125"/>
  <c r="AS97" i="125"/>
  <c r="AS54" i="125"/>
  <c r="AS56" i="125"/>
  <c r="AS57" i="125"/>
  <c r="AS58" i="125"/>
  <c r="AS59" i="125"/>
  <c r="AS60" i="125"/>
  <c r="AS61" i="125"/>
  <c r="AS62" i="125"/>
  <c r="AS63" i="125"/>
  <c r="CG66" i="125"/>
  <c r="AS66" i="125" s="1"/>
  <c r="AS67" i="125"/>
  <c r="AS69" i="125"/>
  <c r="AS70" i="125"/>
  <c r="AS71" i="125"/>
  <c r="AS73" i="125"/>
  <c r="AS74" i="125"/>
  <c r="AS75" i="125"/>
  <c r="AS76" i="125"/>
  <c r="AS77" i="125"/>
  <c r="AS78" i="125"/>
  <c r="AS80" i="125"/>
  <c r="AS81" i="125"/>
  <c r="CF82" i="125"/>
  <c r="CG82" i="125"/>
  <c r="AS83" i="125"/>
  <c r="AS84" i="125"/>
  <c r="AS85" i="125"/>
  <c r="AS87" i="125"/>
  <c r="AS89" i="125"/>
  <c r="AS90" i="125"/>
  <c r="AS91" i="125"/>
  <c r="AS92" i="125"/>
  <c r="AT14" i="125"/>
  <c r="AT21" i="125"/>
  <c r="AT30" i="125"/>
  <c r="AT33" i="125"/>
  <c r="AT51" i="125"/>
  <c r="AT107" i="125" s="1"/>
  <c r="AT53" i="125"/>
  <c r="AT54" i="125"/>
  <c r="AT71" i="125"/>
  <c r="AU21" i="125"/>
  <c r="AU107" i="125" s="1"/>
  <c r="AU71" i="125"/>
  <c r="AV21" i="125"/>
  <c r="AV71" i="125"/>
  <c r="AW21" i="125"/>
  <c r="AW71" i="125"/>
  <c r="AX14" i="125"/>
  <c r="AX21" i="125"/>
  <c r="AX30" i="125"/>
  <c r="AX33" i="125"/>
  <c r="AX51" i="125"/>
  <c r="AX53" i="125"/>
  <c r="AX54" i="125"/>
  <c r="AX71" i="125"/>
  <c r="AY21" i="125"/>
  <c r="AY71" i="125"/>
  <c r="AZ14" i="125"/>
  <c r="AZ21" i="125"/>
  <c r="AZ30" i="125"/>
  <c r="AZ33" i="125"/>
  <c r="AZ51" i="125"/>
  <c r="AZ53" i="125"/>
  <c r="AZ54" i="125"/>
  <c r="AZ71" i="125"/>
  <c r="AZ82" i="125"/>
  <c r="AZ107" i="125"/>
  <c r="BA14" i="125"/>
  <c r="BA21" i="125"/>
  <c r="BA30" i="125"/>
  <c r="BA33" i="125"/>
  <c r="BA51" i="125"/>
  <c r="BA53" i="125"/>
  <c r="BA54" i="125"/>
  <c r="BA71" i="125"/>
  <c r="BA82" i="125"/>
  <c r="BA107" i="125"/>
  <c r="BB21" i="125"/>
  <c r="BB71" i="125"/>
  <c r="BC21" i="125"/>
  <c r="BC71" i="125"/>
  <c r="BD21" i="125"/>
  <c r="BD107" i="125" s="1"/>
  <c r="BD71" i="125"/>
  <c r="BE21" i="125"/>
  <c r="BE107" i="125" s="1"/>
  <c r="BE71" i="125"/>
  <c r="BF31" i="125"/>
  <c r="BF14" i="125"/>
  <c r="BF21" i="125"/>
  <c r="BF30" i="125"/>
  <c r="BF33" i="125"/>
  <c r="BF51" i="125"/>
  <c r="BF52" i="125"/>
  <c r="BF53" i="125"/>
  <c r="K53" i="125" s="1"/>
  <c r="BF54" i="125"/>
  <c r="BF66" i="125"/>
  <c r="BF71" i="125"/>
  <c r="BF82" i="125"/>
  <c r="BF107" i="125"/>
  <c r="BG14" i="125"/>
  <c r="BG21" i="125"/>
  <c r="BG107" i="125" s="1"/>
  <c r="BG30" i="125"/>
  <c r="BG33" i="125"/>
  <c r="BG51" i="125"/>
  <c r="BG53" i="125"/>
  <c r="BG54" i="125"/>
  <c r="BG71" i="125"/>
  <c r="BH14" i="125"/>
  <c r="BH21" i="125"/>
  <c r="BH30" i="125"/>
  <c r="BH33" i="125"/>
  <c r="BH51" i="125"/>
  <c r="BH53" i="125"/>
  <c r="BH54" i="125"/>
  <c r="BH71" i="125"/>
  <c r="BI14" i="125"/>
  <c r="BI21" i="125"/>
  <c r="BI30" i="125"/>
  <c r="BI33" i="125"/>
  <c r="BI51" i="125"/>
  <c r="BI54" i="125"/>
  <c r="BI71" i="125"/>
  <c r="BJ14" i="125"/>
  <c r="BJ21" i="125"/>
  <c r="BJ30" i="125"/>
  <c r="BJ33" i="125"/>
  <c r="BJ51" i="125"/>
  <c r="BJ53" i="125"/>
  <c r="BJ54" i="125"/>
  <c r="BJ71" i="125"/>
  <c r="BK14" i="125"/>
  <c r="BK21" i="125"/>
  <c r="BK30" i="125"/>
  <c r="BK33" i="125"/>
  <c r="BK51" i="125"/>
  <c r="BK53" i="125"/>
  <c r="BK54" i="125"/>
  <c r="BK71" i="125"/>
  <c r="BK107" i="125"/>
  <c r="BL14" i="125"/>
  <c r="BL21" i="125"/>
  <c r="BL107" i="125" s="1"/>
  <c r="BL30" i="125"/>
  <c r="BL33" i="125"/>
  <c r="BL51" i="125"/>
  <c r="BL53" i="125"/>
  <c r="BL54" i="125"/>
  <c r="BL71" i="125"/>
  <c r="BM21" i="125"/>
  <c r="BM107" i="125" s="1"/>
  <c r="BM71" i="125"/>
  <c r="BN14" i="125"/>
  <c r="BN21" i="125"/>
  <c r="BN30" i="125"/>
  <c r="BN33" i="125"/>
  <c r="BN51" i="125"/>
  <c r="BN53" i="125"/>
  <c r="BN54" i="125"/>
  <c r="BN71" i="125"/>
  <c r="BO14" i="125"/>
  <c r="BO21" i="125"/>
  <c r="BO30" i="125"/>
  <c r="BO33" i="125"/>
  <c r="BO51" i="125"/>
  <c r="BO53" i="125"/>
  <c r="BO54" i="125"/>
  <c r="BO71" i="125"/>
  <c r="BO107" i="125"/>
  <c r="BP21" i="125"/>
  <c r="BP71" i="125"/>
  <c r="BQ14" i="125"/>
  <c r="BQ21" i="125"/>
  <c r="BQ30" i="125"/>
  <c r="BQ33" i="125"/>
  <c r="BQ51" i="125"/>
  <c r="BQ54" i="125"/>
  <c r="BQ71" i="125"/>
  <c r="BR21" i="125"/>
  <c r="BR71" i="125"/>
  <c r="BR107" i="125"/>
  <c r="BS14" i="125"/>
  <c r="BS21" i="125"/>
  <c r="BS30" i="125"/>
  <c r="BS33" i="125"/>
  <c r="BS51" i="125"/>
  <c r="BS53" i="125"/>
  <c r="BS54" i="125"/>
  <c r="BS71" i="125"/>
  <c r="BT14" i="125"/>
  <c r="BT21" i="125"/>
  <c r="BT30" i="125"/>
  <c r="BT33" i="125"/>
  <c r="BT51" i="125"/>
  <c r="BT53" i="125"/>
  <c r="BT54" i="125"/>
  <c r="BT71" i="125"/>
  <c r="BU21" i="125"/>
  <c r="BU71" i="125"/>
  <c r="BV21" i="125"/>
  <c r="BV71" i="125"/>
  <c r="BW21" i="125"/>
  <c r="BW71" i="125"/>
  <c r="BX21" i="125"/>
  <c r="BX71" i="125"/>
  <c r="BY21" i="125"/>
  <c r="BY71" i="125"/>
  <c r="BZ21" i="125"/>
  <c r="BZ71" i="125"/>
  <c r="CA21" i="125"/>
  <c r="CA107" i="125" s="1"/>
  <c r="CA71" i="125"/>
  <c r="CB21" i="125"/>
  <c r="CB71" i="125"/>
  <c r="CC21" i="125"/>
  <c r="CC71" i="125"/>
  <c r="CD21" i="125"/>
  <c r="CD71" i="125"/>
  <c r="CE21" i="125"/>
  <c r="CE71" i="125"/>
  <c r="CF14" i="125"/>
  <c r="CF21" i="125"/>
  <c r="CF30" i="125"/>
  <c r="CF33" i="125"/>
  <c r="CF51" i="125"/>
  <c r="CF53" i="125"/>
  <c r="CF54" i="125"/>
  <c r="CF71" i="125"/>
  <c r="CF107" i="125"/>
  <c r="CG14" i="125"/>
  <c r="CG21" i="125"/>
  <c r="CG30" i="125"/>
  <c r="CG33" i="125"/>
  <c r="CG51" i="125"/>
  <c r="CG54" i="125"/>
  <c r="CG71" i="125"/>
  <c r="CH21" i="125"/>
  <c r="CH71" i="125"/>
  <c r="CI21" i="125"/>
  <c r="CI71" i="125"/>
  <c r="CJ21" i="125"/>
  <c r="CJ71" i="125"/>
  <c r="CK21" i="125"/>
  <c r="CK71" i="125"/>
  <c r="CL31" i="125"/>
  <c r="CL14" i="125"/>
  <c r="CL21" i="125"/>
  <c r="CL30" i="125"/>
  <c r="CL33" i="125"/>
  <c r="CL51" i="125"/>
  <c r="CL54" i="125"/>
  <c r="CL67" i="125"/>
  <c r="CL71" i="125"/>
  <c r="CL82" i="125"/>
  <c r="F31" i="125"/>
  <c r="F13" i="125"/>
  <c r="F17" i="125"/>
  <c r="F21" i="125"/>
  <c r="F30" i="125"/>
  <c r="F33" i="125"/>
  <c r="F95" i="125"/>
  <c r="F51" i="125"/>
  <c r="F96" i="125"/>
  <c r="F52" i="125"/>
  <c r="F53" i="125"/>
  <c r="F54" i="125"/>
  <c r="F67" i="125"/>
  <c r="F71" i="125"/>
  <c r="F80" i="125"/>
  <c r="F82" i="125" s="1"/>
  <c r="F81" i="125"/>
  <c r="G31" i="125"/>
  <c r="G13" i="125"/>
  <c r="G17" i="125"/>
  <c r="G21" i="125"/>
  <c r="G30" i="125"/>
  <c r="G33" i="125"/>
  <c r="G95" i="125"/>
  <c r="G51" i="125"/>
  <c r="G96" i="125"/>
  <c r="G52" i="125"/>
  <c r="G53" i="125"/>
  <c r="G54" i="125"/>
  <c r="G67" i="125"/>
  <c r="G71" i="125"/>
  <c r="G80" i="125"/>
  <c r="G82" i="125" s="1"/>
  <c r="G81" i="125"/>
  <c r="H31" i="125"/>
  <c r="H13" i="125"/>
  <c r="H17" i="125"/>
  <c r="H21" i="125"/>
  <c r="H30" i="125"/>
  <c r="H33" i="125"/>
  <c r="H95" i="125"/>
  <c r="H51" i="125"/>
  <c r="H96" i="125"/>
  <c r="H52" i="125"/>
  <c r="H53" i="125"/>
  <c r="H54" i="125"/>
  <c r="H67" i="125"/>
  <c r="H71" i="125"/>
  <c r="H80" i="125"/>
  <c r="H82" i="125" s="1"/>
  <c r="H81" i="125"/>
  <c r="I31" i="125"/>
  <c r="I13" i="125"/>
  <c r="I17" i="125"/>
  <c r="I21" i="125"/>
  <c r="I30" i="125"/>
  <c r="I33" i="125"/>
  <c r="I95" i="125"/>
  <c r="I51" i="125"/>
  <c r="I96" i="125"/>
  <c r="I52" i="125"/>
  <c r="I53" i="125"/>
  <c r="I54" i="125"/>
  <c r="I67" i="125"/>
  <c r="I71" i="125"/>
  <c r="I80" i="125"/>
  <c r="I82" i="125" s="1"/>
  <c r="I81" i="125"/>
  <c r="J107" i="125"/>
  <c r="K31" i="125"/>
  <c r="K7" i="125"/>
  <c r="K8" i="125"/>
  <c r="K9" i="125"/>
  <c r="K10" i="125"/>
  <c r="K11" i="125"/>
  <c r="K12" i="125"/>
  <c r="K13" i="125"/>
  <c r="K14" i="125"/>
  <c r="K16" i="125"/>
  <c r="K17" i="125"/>
  <c r="K18" i="125"/>
  <c r="K19" i="125"/>
  <c r="K20" i="125"/>
  <c r="K118" i="125"/>
  <c r="K21" i="125"/>
  <c r="K23" i="125"/>
  <c r="K24" i="125"/>
  <c r="K25" i="125"/>
  <c r="K26" i="125"/>
  <c r="K27" i="125"/>
  <c r="K28" i="125"/>
  <c r="K29" i="125"/>
  <c r="K30" i="125"/>
  <c r="K32" i="125"/>
  <c r="K33" i="125"/>
  <c r="K35" i="125"/>
  <c r="K36" i="125"/>
  <c r="K37" i="125"/>
  <c r="K38" i="125"/>
  <c r="K39" i="125"/>
  <c r="K41" i="125"/>
  <c r="K42" i="125"/>
  <c r="K43" i="125"/>
  <c r="K44" i="125"/>
  <c r="K45" i="125"/>
  <c r="K46" i="125"/>
  <c r="K47" i="125"/>
  <c r="K48" i="125"/>
  <c r="K49" i="125"/>
  <c r="K50" i="125"/>
  <c r="K51" i="125"/>
  <c r="K52" i="125"/>
  <c r="K54" i="125"/>
  <c r="K56" i="125"/>
  <c r="K57" i="125"/>
  <c r="K58" i="125"/>
  <c r="K59" i="125"/>
  <c r="K60" i="125"/>
  <c r="K61" i="125"/>
  <c r="K62" i="125"/>
  <c r="K63" i="125"/>
  <c r="K65" i="125"/>
  <c r="K66" i="125"/>
  <c r="K67" i="125"/>
  <c r="K69" i="125"/>
  <c r="K70" i="125"/>
  <c r="K71" i="125" s="1"/>
  <c r="K73" i="125"/>
  <c r="K74" i="125"/>
  <c r="K75" i="125"/>
  <c r="K76" i="125"/>
  <c r="K77" i="125"/>
  <c r="K78" i="125"/>
  <c r="K80" i="125"/>
  <c r="K81" i="125"/>
  <c r="K82" i="125"/>
  <c r="K83" i="125"/>
  <c r="K84" i="125"/>
  <c r="K85" i="125"/>
  <c r="K87" i="125"/>
  <c r="K89" i="125"/>
  <c r="K90" i="125"/>
  <c r="K91" i="125"/>
  <c r="K92" i="125"/>
  <c r="B54" i="125"/>
  <c r="B53" i="125"/>
  <c r="A26" i="125"/>
  <c r="A27" i="125"/>
  <c r="A28" i="125"/>
  <c r="A29" i="125"/>
  <c r="A30" i="125"/>
  <c r="A31" i="125"/>
  <c r="A32" i="125"/>
  <c r="A33" i="125"/>
  <c r="A34" i="125"/>
  <c r="A35" i="125"/>
  <c r="A36" i="125"/>
  <c r="A37" i="125"/>
  <c r="A38" i="125"/>
  <c r="A39" i="125"/>
  <c r="A40" i="125"/>
  <c r="A41" i="125"/>
  <c r="A42" i="125"/>
  <c r="A43" i="125"/>
  <c r="A44" i="125"/>
  <c r="A45" i="125"/>
  <c r="A46" i="125"/>
  <c r="A47" i="125"/>
  <c r="A48" i="125"/>
  <c r="A49" i="125"/>
  <c r="A50" i="125"/>
  <c r="A51" i="125"/>
  <c r="A52" i="125"/>
  <c r="A53" i="125"/>
  <c r="A54" i="125"/>
  <c r="A55" i="125"/>
  <c r="A56" i="125"/>
  <c r="A57" i="125"/>
  <c r="A58" i="125"/>
  <c r="A59" i="125"/>
  <c r="A60" i="125"/>
  <c r="A61" i="125"/>
  <c r="A62" i="125"/>
  <c r="A63" i="125"/>
  <c r="A64" i="125"/>
  <c r="A65" i="125"/>
  <c r="A66" i="125"/>
  <c r="A67" i="125"/>
  <c r="A68" i="125"/>
  <c r="A69" i="125"/>
  <c r="A70" i="125"/>
  <c r="A71" i="125"/>
  <c r="A72" i="125"/>
  <c r="A73" i="125"/>
  <c r="A74" i="125"/>
  <c r="A75" i="125"/>
  <c r="A76" i="125"/>
  <c r="A77" i="125"/>
  <c r="A78" i="125"/>
  <c r="A79" i="125"/>
  <c r="A80" i="125"/>
  <c r="A81" i="125"/>
  <c r="A82" i="125"/>
  <c r="A83" i="125"/>
  <c r="A84" i="125"/>
  <c r="A85" i="125"/>
  <c r="A86" i="125"/>
  <c r="A87" i="125"/>
  <c r="A88" i="125"/>
  <c r="A89" i="125"/>
  <c r="A90" i="125"/>
  <c r="A91" i="125"/>
  <c r="A92" i="125"/>
  <c r="A93" i="125"/>
  <c r="A94" i="125"/>
  <c r="A95" i="125"/>
  <c r="A96" i="125"/>
  <c r="A97" i="125"/>
  <c r="A98" i="125"/>
  <c r="A99" i="125"/>
  <c r="A100" i="125"/>
  <c r="A101" i="125"/>
  <c r="A102" i="125"/>
  <c r="A103" i="125"/>
  <c r="A104" i="125"/>
  <c r="A105" i="125"/>
  <c r="A106" i="125"/>
  <c r="A14" i="125"/>
  <c r="A15" i="125"/>
  <c r="A16" i="125"/>
  <c r="A17" i="125"/>
  <c r="A18" i="125"/>
  <c r="A19" i="125"/>
  <c r="A20" i="125"/>
  <c r="A21" i="125"/>
  <c r="A22" i="125"/>
  <c r="A23" i="125"/>
  <c r="A24" i="125"/>
  <c r="A25" i="125"/>
  <c r="I117" i="125"/>
  <c r="H117" i="125"/>
  <c r="G117" i="125"/>
  <c r="F117" i="125"/>
  <c r="B31" i="125"/>
  <c r="AS100" i="125"/>
  <c r="AR100" i="125"/>
  <c r="AQ100" i="125"/>
  <c r="AP100" i="125"/>
  <c r="AO100" i="125"/>
  <c r="AN100" i="125"/>
  <c r="AM100" i="125"/>
  <c r="AL100" i="125"/>
  <c r="AK100" i="125"/>
  <c r="AJ100" i="125"/>
  <c r="AI100" i="125"/>
  <c r="AH100" i="125"/>
  <c r="AG100" i="125"/>
  <c r="AF100" i="125"/>
  <c r="AE100" i="125"/>
  <c r="AD100" i="125"/>
  <c r="AC100" i="125"/>
  <c r="AB100" i="125"/>
  <c r="AA100" i="125"/>
  <c r="Z100" i="125"/>
  <c r="Y100" i="125"/>
  <c r="X100" i="125"/>
  <c r="W100" i="125"/>
  <c r="V100" i="125"/>
  <c r="U100" i="125"/>
  <c r="T100" i="125"/>
  <c r="S100" i="125"/>
  <c r="R100" i="125"/>
  <c r="Q100" i="125"/>
  <c r="P100" i="125"/>
  <c r="O100" i="125"/>
  <c r="N100" i="125"/>
  <c r="M100" i="125"/>
  <c r="L100" i="125"/>
  <c r="K100" i="125"/>
  <c r="C100" i="125"/>
  <c r="P117" i="125"/>
  <c r="P96" i="125"/>
  <c r="P105" i="125"/>
  <c r="P104" i="125"/>
  <c r="P103" i="125"/>
  <c r="P102" i="125"/>
  <c r="P101" i="125"/>
  <c r="P106" i="125"/>
  <c r="R106" i="125"/>
  <c r="R105" i="125"/>
  <c r="R104" i="125"/>
  <c r="R103" i="125"/>
  <c r="R102" i="125"/>
  <c r="R101" i="125"/>
  <c r="R96" i="125"/>
  <c r="R93" i="125"/>
  <c r="R117" i="125"/>
  <c r="P93" i="125"/>
  <c r="CL5" i="125"/>
  <c r="CK5" i="125"/>
  <c r="CJ5" i="125"/>
  <c r="CI5" i="125"/>
  <c r="CH5" i="125"/>
  <c r="CG5" i="125"/>
  <c r="CF5" i="125"/>
  <c r="CE5" i="125"/>
  <c r="CD5" i="125"/>
  <c r="CC5" i="125"/>
  <c r="CB5" i="125"/>
  <c r="CA5" i="125"/>
  <c r="BZ5" i="125"/>
  <c r="BY5" i="125"/>
  <c r="BX5" i="125"/>
  <c r="BW5" i="125"/>
  <c r="BV5" i="125"/>
  <c r="BU5" i="125"/>
  <c r="BT5" i="125"/>
  <c r="BS5" i="125"/>
  <c r="BR5" i="125"/>
  <c r="BQ5" i="125"/>
  <c r="BP5" i="125"/>
  <c r="BO5" i="125"/>
  <c r="BN5" i="125"/>
  <c r="BM5" i="125"/>
  <c r="BL5" i="125"/>
  <c r="BK5" i="125"/>
  <c r="BJ5" i="125"/>
  <c r="BI5" i="125"/>
  <c r="BH5" i="125"/>
  <c r="BG5" i="125"/>
  <c r="BF5" i="125"/>
  <c r="BE5" i="125"/>
  <c r="BD5" i="125"/>
  <c r="BC5" i="125"/>
  <c r="BB5" i="125"/>
  <c r="BA5" i="125"/>
  <c r="AZ5" i="125"/>
  <c r="AY5" i="125"/>
  <c r="AX5" i="125"/>
  <c r="AW5" i="125"/>
  <c r="AV5" i="125"/>
  <c r="AU5" i="125"/>
  <c r="AT5" i="125"/>
  <c r="AS5" i="125"/>
  <c r="AR5" i="125"/>
  <c r="AQ5" i="125"/>
  <c r="AP5" i="125"/>
  <c r="AO5" i="125"/>
  <c r="AN5" i="125"/>
  <c r="AM5" i="125"/>
  <c r="AL5" i="125"/>
  <c r="AK5" i="125"/>
  <c r="AJ5" i="125"/>
  <c r="AI5" i="125"/>
  <c r="AH5" i="125"/>
  <c r="AG5" i="125"/>
  <c r="AF5" i="125"/>
  <c r="AE5" i="125"/>
  <c r="AD5" i="125"/>
  <c r="AC5" i="125"/>
  <c r="AB5" i="125"/>
  <c r="AA5" i="125"/>
  <c r="Z5" i="125"/>
  <c r="Y5" i="125"/>
  <c r="X5" i="125"/>
  <c r="W5" i="125"/>
  <c r="V5" i="125"/>
  <c r="U5" i="125"/>
  <c r="T5" i="125"/>
  <c r="S5" i="125"/>
  <c r="R5" i="125"/>
  <c r="Q5" i="125"/>
  <c r="P5" i="125"/>
  <c r="O5" i="125"/>
  <c r="N5" i="125"/>
  <c r="M5" i="125"/>
  <c r="L5" i="125"/>
  <c r="K5" i="125"/>
  <c r="J5" i="125"/>
  <c r="I5" i="125"/>
  <c r="H5" i="125"/>
  <c r="G5" i="125"/>
  <c r="F5" i="125"/>
  <c r="A6" i="125"/>
  <c r="A7" i="125"/>
  <c r="A8" i="125"/>
  <c r="A9" i="125"/>
  <c r="A10" i="125"/>
  <c r="A11" i="125"/>
  <c r="A12" i="125"/>
  <c r="A13" i="125"/>
  <c r="A5" i="125"/>
  <c r="C98" i="125"/>
  <c r="AS96" i="125"/>
  <c r="AE96" i="125"/>
  <c r="AA96" i="125"/>
  <c r="Y96" i="125"/>
  <c r="X96" i="125"/>
  <c r="V96" i="125"/>
  <c r="AS93" i="125"/>
  <c r="AS106" i="125"/>
  <c r="AR106" i="125"/>
  <c r="AQ106" i="125"/>
  <c r="AS105" i="125"/>
  <c r="AR105" i="125"/>
  <c r="AQ105" i="125"/>
  <c r="AS104" i="125"/>
  <c r="AR104" i="125"/>
  <c r="AQ104" i="125"/>
  <c r="AS103" i="125"/>
  <c r="AR103" i="125"/>
  <c r="AQ103" i="125"/>
  <c r="AS102" i="125"/>
  <c r="AR102" i="125"/>
  <c r="AQ102" i="125"/>
  <c r="AS101" i="125"/>
  <c r="AR101" i="125"/>
  <c r="AQ101" i="125"/>
  <c r="AR97" i="125"/>
  <c r="AQ97" i="125"/>
  <c r="AR98" i="125"/>
  <c r="AQ98" i="125"/>
  <c r="AR95" i="125"/>
  <c r="AQ95" i="125"/>
  <c r="AR96" i="125"/>
  <c r="AQ96" i="125"/>
  <c r="AR93" i="125"/>
  <c r="AQ93" i="125"/>
  <c r="AS117" i="125"/>
  <c r="AR117" i="125"/>
  <c r="AQ117" i="125"/>
  <c r="AP106" i="125"/>
  <c r="AO106" i="125"/>
  <c r="AN106" i="125"/>
  <c r="AM106" i="125"/>
  <c r="AP105" i="125"/>
  <c r="AO105" i="125"/>
  <c r="AN105" i="125"/>
  <c r="AM105" i="125"/>
  <c r="AP104" i="125"/>
  <c r="AO104" i="125"/>
  <c r="AN104" i="125"/>
  <c r="AM104" i="125"/>
  <c r="AP103" i="125"/>
  <c r="AO103" i="125"/>
  <c r="AN103" i="125"/>
  <c r="AM103" i="125"/>
  <c r="AP102" i="125"/>
  <c r="AO102" i="125"/>
  <c r="AN102" i="125"/>
  <c r="AM102" i="125"/>
  <c r="AP101" i="125"/>
  <c r="AO101" i="125"/>
  <c r="AN101" i="125"/>
  <c r="AM101" i="125"/>
  <c r="AP97" i="125"/>
  <c r="AO97" i="125"/>
  <c r="AN97" i="125"/>
  <c r="AM97" i="125"/>
  <c r="AP98" i="125"/>
  <c r="AO98" i="125"/>
  <c r="AN98" i="125"/>
  <c r="AM98" i="125"/>
  <c r="AP95" i="125"/>
  <c r="AO95" i="125"/>
  <c r="AN95" i="125"/>
  <c r="AM95" i="125"/>
  <c r="AP96" i="125"/>
  <c r="AO96" i="125"/>
  <c r="AN96" i="125"/>
  <c r="AM96" i="125"/>
  <c r="AP93" i="125"/>
  <c r="AO93" i="125"/>
  <c r="AN93" i="125"/>
  <c r="AM93" i="125"/>
  <c r="AP117" i="125"/>
  <c r="AO117" i="125"/>
  <c r="AN117" i="125"/>
  <c r="AM117" i="125"/>
  <c r="AL106" i="125"/>
  <c r="AK106" i="125"/>
  <c r="AJ106" i="125"/>
  <c r="AL105" i="125"/>
  <c r="AK105" i="125"/>
  <c r="AJ105" i="125"/>
  <c r="AL104" i="125"/>
  <c r="AK104" i="125"/>
  <c r="AJ104" i="125"/>
  <c r="AL103" i="125"/>
  <c r="AK103" i="125"/>
  <c r="AJ103" i="125"/>
  <c r="AL102" i="125"/>
  <c r="AK102" i="125"/>
  <c r="AJ102" i="125"/>
  <c r="AL101" i="125"/>
  <c r="AK101" i="125"/>
  <c r="AJ101" i="125"/>
  <c r="AL97" i="125"/>
  <c r="AK97" i="125"/>
  <c r="AJ97" i="125"/>
  <c r="AL98" i="125"/>
  <c r="AK98" i="125"/>
  <c r="AJ98" i="125"/>
  <c r="AL95" i="125"/>
  <c r="AK95" i="125"/>
  <c r="AJ95" i="125"/>
  <c r="AL96" i="125"/>
  <c r="AK96" i="125"/>
  <c r="AJ96" i="125"/>
  <c r="AL93" i="125"/>
  <c r="AK93" i="125"/>
  <c r="AJ93" i="125"/>
  <c r="AL117" i="125"/>
  <c r="AK117" i="125"/>
  <c r="AJ117" i="125"/>
  <c r="AI106" i="125"/>
  <c r="AH106" i="125"/>
  <c r="AG106" i="125"/>
  <c r="AF106" i="125"/>
  <c r="AI105" i="125"/>
  <c r="AH105" i="125"/>
  <c r="AG105" i="125"/>
  <c r="AF105" i="125"/>
  <c r="AI104" i="125"/>
  <c r="AH104" i="125"/>
  <c r="AG104" i="125"/>
  <c r="AF104" i="125"/>
  <c r="AI103" i="125"/>
  <c r="AH103" i="125"/>
  <c r="AG103" i="125"/>
  <c r="AF103" i="125"/>
  <c r="AI102" i="125"/>
  <c r="AH102" i="125"/>
  <c r="AG102" i="125"/>
  <c r="AF102" i="125"/>
  <c r="AI101" i="125"/>
  <c r="AH101" i="125"/>
  <c r="AG101" i="125"/>
  <c r="AF101" i="125"/>
  <c r="AI97" i="125"/>
  <c r="AH97" i="125"/>
  <c r="AG97" i="125"/>
  <c r="AF97" i="125"/>
  <c r="AI98" i="125"/>
  <c r="AH98" i="125"/>
  <c r="AG98" i="125"/>
  <c r="AF98" i="125"/>
  <c r="AI95" i="125"/>
  <c r="AH95" i="125"/>
  <c r="AG95" i="125"/>
  <c r="AF95" i="125"/>
  <c r="AI96" i="125"/>
  <c r="AH96" i="125"/>
  <c r="AG96" i="125"/>
  <c r="AF96" i="125"/>
  <c r="AI93" i="125"/>
  <c r="AH93" i="125"/>
  <c r="AG93" i="125"/>
  <c r="AF93" i="125"/>
  <c r="AI117" i="125"/>
  <c r="AH117" i="125"/>
  <c r="AG117" i="125"/>
  <c r="AF117" i="125"/>
  <c r="AE93" i="125"/>
  <c r="AE106" i="125"/>
  <c r="AE105" i="125"/>
  <c r="AE104" i="125"/>
  <c r="AE103" i="125"/>
  <c r="AE102" i="125"/>
  <c r="AE101" i="125"/>
  <c r="AE117" i="125"/>
  <c r="AD106" i="125"/>
  <c r="AC106" i="125"/>
  <c r="AB106" i="125"/>
  <c r="AD105" i="125"/>
  <c r="AC105" i="125"/>
  <c r="AB105" i="125"/>
  <c r="AD104" i="125"/>
  <c r="AC104" i="125"/>
  <c r="AB104" i="125"/>
  <c r="AD103" i="125"/>
  <c r="AC103" i="125"/>
  <c r="AB103" i="125"/>
  <c r="AD102" i="125"/>
  <c r="AC102" i="125"/>
  <c r="AB102" i="125"/>
  <c r="AD101" i="125"/>
  <c r="AC101" i="125"/>
  <c r="AB101" i="125"/>
  <c r="AD97" i="125"/>
  <c r="AC97" i="125"/>
  <c r="AB97" i="125"/>
  <c r="AD98" i="125"/>
  <c r="AC98" i="125"/>
  <c r="AB98" i="125"/>
  <c r="AD95" i="125"/>
  <c r="AC95" i="125"/>
  <c r="AB95" i="125"/>
  <c r="AD96" i="125"/>
  <c r="AC96" i="125"/>
  <c r="AB96" i="125"/>
  <c r="AD93" i="125"/>
  <c r="AC93" i="125"/>
  <c r="AB93" i="125"/>
  <c r="AD117" i="125"/>
  <c r="AC117" i="125"/>
  <c r="AB117" i="125"/>
  <c r="AA93" i="125"/>
  <c r="AA106" i="125"/>
  <c r="AA105" i="125"/>
  <c r="AA104" i="125"/>
  <c r="AA103" i="125"/>
  <c r="AA102" i="125"/>
  <c r="AA101" i="125"/>
  <c r="AA117" i="125"/>
  <c r="Z106" i="125"/>
  <c r="Z105" i="125"/>
  <c r="Z104" i="125"/>
  <c r="Z103" i="125"/>
  <c r="Z102" i="125"/>
  <c r="Z101" i="125"/>
  <c r="Z97" i="125"/>
  <c r="Z98" i="125"/>
  <c r="Z95" i="125"/>
  <c r="Z96" i="125"/>
  <c r="Z93" i="125"/>
  <c r="Z117" i="125"/>
  <c r="Y93" i="125"/>
  <c r="Y106" i="125"/>
  <c r="Y105" i="125"/>
  <c r="Y104" i="125"/>
  <c r="Y103" i="125"/>
  <c r="Y102" i="125"/>
  <c r="Y101" i="125"/>
  <c r="Y117" i="125"/>
  <c r="X93" i="125"/>
  <c r="X106" i="125"/>
  <c r="X105" i="125"/>
  <c r="X104" i="125"/>
  <c r="X103" i="125"/>
  <c r="X102" i="125"/>
  <c r="X101" i="125"/>
  <c r="X117" i="125"/>
  <c r="W106" i="125"/>
  <c r="W105" i="125"/>
  <c r="W104" i="125"/>
  <c r="W103" i="125"/>
  <c r="W102" i="125"/>
  <c r="W101" i="125"/>
  <c r="W97" i="125"/>
  <c r="W98" i="125"/>
  <c r="W95" i="125"/>
  <c r="W96" i="125"/>
  <c r="W93" i="125"/>
  <c r="W117" i="125"/>
  <c r="V93" i="125"/>
  <c r="V106" i="125"/>
  <c r="V105" i="125"/>
  <c r="V104" i="125"/>
  <c r="V103" i="125"/>
  <c r="V102" i="125"/>
  <c r="V101" i="125"/>
  <c r="V117" i="125"/>
  <c r="U106" i="125"/>
  <c r="T106" i="125"/>
  <c r="S106" i="125"/>
  <c r="U105" i="125"/>
  <c r="T105" i="125"/>
  <c r="S105" i="125"/>
  <c r="U104" i="125"/>
  <c r="T104" i="125"/>
  <c r="S104" i="125"/>
  <c r="U103" i="125"/>
  <c r="T103" i="125"/>
  <c r="S103" i="125"/>
  <c r="U102" i="125"/>
  <c r="T102" i="125"/>
  <c r="S102" i="125"/>
  <c r="U101" i="125"/>
  <c r="T101" i="125"/>
  <c r="S101" i="125"/>
  <c r="U97" i="125"/>
  <c r="T97" i="125"/>
  <c r="S97" i="125"/>
  <c r="U98" i="125"/>
  <c r="T98" i="125"/>
  <c r="S98" i="125"/>
  <c r="U95" i="125"/>
  <c r="T95" i="125"/>
  <c r="S95" i="125"/>
  <c r="U96" i="125"/>
  <c r="T96" i="125"/>
  <c r="S96" i="125"/>
  <c r="U93" i="125"/>
  <c r="T93" i="125"/>
  <c r="S93" i="125"/>
  <c r="U117" i="125"/>
  <c r="T117" i="125"/>
  <c r="S117" i="125"/>
  <c r="Q106" i="125"/>
  <c r="Q105" i="125"/>
  <c r="Q104" i="125"/>
  <c r="Q103" i="125"/>
  <c r="Q102" i="125"/>
  <c r="Q101" i="125"/>
  <c r="Q97" i="125"/>
  <c r="Q98" i="125"/>
  <c r="Q95" i="125"/>
  <c r="Q96" i="125"/>
  <c r="Q93" i="125"/>
  <c r="Q117" i="125"/>
  <c r="O106" i="125"/>
  <c r="O105" i="125"/>
  <c r="O104" i="125"/>
  <c r="O103" i="125"/>
  <c r="O102" i="125"/>
  <c r="O101" i="125"/>
  <c r="O97" i="125"/>
  <c r="O98" i="125"/>
  <c r="O95" i="125"/>
  <c r="O96" i="125"/>
  <c r="O93" i="125"/>
  <c r="O117" i="125"/>
  <c r="N106" i="125"/>
  <c r="N105" i="125"/>
  <c r="N104" i="125"/>
  <c r="N103" i="125"/>
  <c r="N102" i="125"/>
  <c r="N101" i="125"/>
  <c r="N97" i="125"/>
  <c r="N98" i="125"/>
  <c r="N95" i="125"/>
  <c r="N96" i="125"/>
  <c r="N93" i="125"/>
  <c r="N117" i="125"/>
  <c r="M106" i="125"/>
  <c r="M105" i="125"/>
  <c r="M104" i="125"/>
  <c r="M103" i="125"/>
  <c r="M102" i="125"/>
  <c r="M101" i="125"/>
  <c r="M97" i="125"/>
  <c r="M98" i="125"/>
  <c r="M95" i="125"/>
  <c r="M96" i="125"/>
  <c r="M93" i="125"/>
  <c r="M117" i="125"/>
  <c r="L106" i="125"/>
  <c r="L105" i="125"/>
  <c r="L104" i="125"/>
  <c r="L103" i="125"/>
  <c r="L102" i="125"/>
  <c r="L101" i="125"/>
  <c r="L97" i="125"/>
  <c r="L98" i="125"/>
  <c r="L95" i="125"/>
  <c r="L96" i="125"/>
  <c r="L93" i="125"/>
  <c r="L117" i="125"/>
  <c r="K106" i="125"/>
  <c r="K105" i="125"/>
  <c r="K104" i="125"/>
  <c r="K103" i="125"/>
  <c r="K102" i="125"/>
  <c r="K101" i="125"/>
  <c r="K97" i="125"/>
  <c r="K98" i="125"/>
  <c r="K95" i="125"/>
  <c r="K96" i="125"/>
  <c r="K93" i="125"/>
  <c r="K117" i="125"/>
  <c r="CC65" i="120"/>
  <c r="CD65" i="120"/>
  <c r="CE65" i="120"/>
  <c r="CF65" i="120"/>
  <c r="CG65" i="120"/>
  <c r="CH65" i="120"/>
  <c r="CI65" i="120"/>
  <c r="CJ65" i="120"/>
  <c r="CK65" i="120"/>
  <c r="BS65" i="120"/>
  <c r="BT65" i="120"/>
  <c r="BU65" i="120"/>
  <c r="BV65" i="120"/>
  <c r="BW65" i="120"/>
  <c r="BX65" i="120"/>
  <c r="BY65" i="120"/>
  <c r="BZ65" i="120"/>
  <c r="CA65" i="120"/>
  <c r="CB65" i="120"/>
  <c r="BG65" i="120"/>
  <c r="BH65" i="120"/>
  <c r="BI65" i="120"/>
  <c r="BJ65" i="120"/>
  <c r="BK65" i="120"/>
  <c r="BL65" i="120"/>
  <c r="BM65" i="120"/>
  <c r="BN65" i="120"/>
  <c r="BO65" i="120"/>
  <c r="BP65" i="120"/>
  <c r="BQ65" i="120"/>
  <c r="BR65" i="120"/>
  <c r="AU65" i="120"/>
  <c r="AV65" i="120"/>
  <c r="AW65" i="120"/>
  <c r="N65" i="120" s="1"/>
  <c r="AX65" i="120"/>
  <c r="AY65" i="120"/>
  <c r="AZ65" i="120"/>
  <c r="BA65" i="120"/>
  <c r="BB65" i="120"/>
  <c r="T65" i="120" s="1"/>
  <c r="BC65" i="120"/>
  <c r="BD65" i="120"/>
  <c r="BE65" i="120"/>
  <c r="BF65" i="120"/>
  <c r="F65" i="120"/>
  <c r="Q118" i="120"/>
  <c r="BT66" i="120"/>
  <c r="AE66" i="120" s="1"/>
  <c r="P81" i="120"/>
  <c r="P80" i="120"/>
  <c r="P82" i="120" s="1"/>
  <c r="Q85" i="120"/>
  <c r="Q84" i="120"/>
  <c r="Q83" i="120"/>
  <c r="Q81" i="120"/>
  <c r="Q80" i="120"/>
  <c r="Q82" i="120" s="1"/>
  <c r="AQ81" i="120"/>
  <c r="AQ80" i="120"/>
  <c r="AQ82" i="120"/>
  <c r="AP81" i="120"/>
  <c r="AP80" i="120"/>
  <c r="AP82" i="120" s="1"/>
  <c r="AO81" i="120"/>
  <c r="AO80" i="120"/>
  <c r="AO82" i="120" s="1"/>
  <c r="AN81" i="120"/>
  <c r="AN82" i="120" s="1"/>
  <c r="AN80" i="120"/>
  <c r="AM81" i="120"/>
  <c r="AM80" i="120"/>
  <c r="AM82" i="120"/>
  <c r="AL81" i="120"/>
  <c r="AL80" i="120"/>
  <c r="AL82" i="120"/>
  <c r="AK81" i="120"/>
  <c r="AK82" i="120" s="1"/>
  <c r="AK80" i="120"/>
  <c r="AJ81" i="120"/>
  <c r="AJ80" i="120"/>
  <c r="AJ82" i="120" s="1"/>
  <c r="AI81" i="120"/>
  <c r="AI82" i="120" s="1"/>
  <c r="AI80" i="120"/>
  <c r="AH81" i="120"/>
  <c r="AH80" i="120"/>
  <c r="AH82" i="120"/>
  <c r="AG81" i="120"/>
  <c r="AG80" i="120"/>
  <c r="AG82" i="120"/>
  <c r="AF81" i="120"/>
  <c r="AF80" i="120"/>
  <c r="BT81" i="120"/>
  <c r="AE81" i="120"/>
  <c r="AE82" i="120" s="1"/>
  <c r="BT80" i="120"/>
  <c r="AE80" i="120"/>
  <c r="AD81" i="120"/>
  <c r="AD80" i="120"/>
  <c r="AD82" i="120"/>
  <c r="AC81" i="120"/>
  <c r="AC82" i="120" s="1"/>
  <c r="AC80" i="120"/>
  <c r="AB81" i="120"/>
  <c r="AB80" i="120"/>
  <c r="AB82" i="120"/>
  <c r="AA81" i="120"/>
  <c r="AA80" i="120"/>
  <c r="AA82" i="120"/>
  <c r="Z81" i="120"/>
  <c r="Z80" i="120"/>
  <c r="Y81" i="120"/>
  <c r="Y80" i="120"/>
  <c r="Y82" i="120"/>
  <c r="X81" i="120"/>
  <c r="X82" i="120" s="1"/>
  <c r="X80" i="120"/>
  <c r="W81" i="120"/>
  <c r="W80" i="120"/>
  <c r="W82" i="120"/>
  <c r="V81" i="120"/>
  <c r="V80" i="120"/>
  <c r="V82" i="120"/>
  <c r="U81" i="120"/>
  <c r="U80" i="120"/>
  <c r="T81" i="120"/>
  <c r="T80" i="120"/>
  <c r="T82" i="120"/>
  <c r="S81" i="120"/>
  <c r="S82" i="120" s="1"/>
  <c r="S80" i="120"/>
  <c r="R81" i="120"/>
  <c r="R80" i="120"/>
  <c r="R82" i="120"/>
  <c r="O81" i="120"/>
  <c r="O80" i="120"/>
  <c r="O82" i="120"/>
  <c r="N81" i="120"/>
  <c r="N80" i="120"/>
  <c r="N82" i="120"/>
  <c r="M81" i="120"/>
  <c r="M82" i="120" s="1"/>
  <c r="M80" i="120"/>
  <c r="L81" i="120"/>
  <c r="L80" i="120"/>
  <c r="L82" i="120"/>
  <c r="K81" i="120"/>
  <c r="K82" i="120" s="1"/>
  <c r="K80" i="120"/>
  <c r="I81" i="120"/>
  <c r="I80" i="120"/>
  <c r="I82" i="120"/>
  <c r="H81" i="120"/>
  <c r="H80" i="120"/>
  <c r="H82" i="120"/>
  <c r="G81" i="120"/>
  <c r="G80" i="120"/>
  <c r="F81" i="120"/>
  <c r="F80" i="120"/>
  <c r="F82" i="120"/>
  <c r="AS81" i="120"/>
  <c r="AS82" i="120" s="1"/>
  <c r="AS80" i="120"/>
  <c r="AR81" i="120"/>
  <c r="AR80" i="120"/>
  <c r="AR82" i="120"/>
  <c r="CL81" i="120"/>
  <c r="AT82" i="120"/>
  <c r="AU82" i="120"/>
  <c r="CL80" i="120"/>
  <c r="L126" i="120"/>
  <c r="L127" i="120" s="1"/>
  <c r="L35" i="120"/>
  <c r="M126" i="120"/>
  <c r="M35" i="120"/>
  <c r="M127" i="120"/>
  <c r="N126" i="120"/>
  <c r="N35" i="120"/>
  <c r="N127" i="120"/>
  <c r="O126" i="120"/>
  <c r="O127" i="120" s="1"/>
  <c r="O35" i="120"/>
  <c r="P126" i="120"/>
  <c r="P35" i="120"/>
  <c r="P127" i="120"/>
  <c r="Q126" i="120"/>
  <c r="Q127" i="120" s="1"/>
  <c r="Q35" i="120"/>
  <c r="R126" i="120"/>
  <c r="R35" i="120"/>
  <c r="R127" i="120"/>
  <c r="S126" i="120"/>
  <c r="S127" i="120" s="1"/>
  <c r="S35" i="120"/>
  <c r="T126" i="120"/>
  <c r="T127" i="120" s="1"/>
  <c r="T35" i="120"/>
  <c r="U126" i="120"/>
  <c r="U35" i="120"/>
  <c r="U127" i="120"/>
  <c r="V126" i="120"/>
  <c r="V127" i="120" s="1"/>
  <c r="V35" i="120"/>
  <c r="W126" i="120"/>
  <c r="W35" i="120"/>
  <c r="W127" i="120"/>
  <c r="X126" i="120"/>
  <c r="X35" i="120"/>
  <c r="X127" i="120"/>
  <c r="Y126" i="120"/>
  <c r="Y127" i="120" s="1"/>
  <c r="Y35" i="120"/>
  <c r="Z126" i="120"/>
  <c r="Z35" i="120"/>
  <c r="Z127" i="120"/>
  <c r="AA126" i="120"/>
  <c r="AA127" i="120" s="1"/>
  <c r="AA35" i="120"/>
  <c r="AB126" i="120"/>
  <c r="AB35" i="120"/>
  <c r="AB127" i="120"/>
  <c r="AC126" i="120"/>
  <c r="AC35" i="120"/>
  <c r="AC127" i="120" s="1"/>
  <c r="AD126" i="120"/>
  <c r="AD127" i="120" s="1"/>
  <c r="AD35" i="120"/>
  <c r="AE126" i="120"/>
  <c r="AE35" i="120"/>
  <c r="AE127" i="120"/>
  <c r="AF126" i="120"/>
  <c r="AF127" i="120" s="1"/>
  <c r="AF35" i="120"/>
  <c r="AG126" i="120"/>
  <c r="AG35" i="120"/>
  <c r="AG127" i="120"/>
  <c r="AH126" i="120"/>
  <c r="AH127" i="120" s="1"/>
  <c r="AH35" i="120"/>
  <c r="AI126" i="120"/>
  <c r="AI35" i="120"/>
  <c r="AJ126" i="120"/>
  <c r="AJ35" i="120"/>
  <c r="AJ127" i="120"/>
  <c r="AK126" i="120"/>
  <c r="AK127" i="120" s="1"/>
  <c r="AK35" i="120"/>
  <c r="AL126" i="120"/>
  <c r="AL35" i="120"/>
  <c r="AL127" i="120"/>
  <c r="AM126" i="120"/>
  <c r="AM127" i="120" s="1"/>
  <c r="AM35" i="120"/>
  <c r="AN126" i="120"/>
  <c r="AN35" i="120"/>
  <c r="AO126" i="120"/>
  <c r="AO35" i="120"/>
  <c r="AO127" i="120"/>
  <c r="AP126" i="120"/>
  <c r="AP127" i="120" s="1"/>
  <c r="AP35" i="120"/>
  <c r="AQ126" i="120"/>
  <c r="AQ35" i="120"/>
  <c r="AQ127" i="120"/>
  <c r="AR126" i="120"/>
  <c r="AR127" i="120" s="1"/>
  <c r="AR35" i="120"/>
  <c r="AS126" i="120"/>
  <c r="AS35" i="120"/>
  <c r="AT127" i="120"/>
  <c r="AU127" i="120"/>
  <c r="AV127" i="120"/>
  <c r="AW127" i="120"/>
  <c r="AX127" i="120"/>
  <c r="AY127" i="120"/>
  <c r="AZ127" i="120"/>
  <c r="BA127" i="120"/>
  <c r="BB127" i="120"/>
  <c r="BC127" i="120"/>
  <c r="BD127" i="120"/>
  <c r="BE127" i="120"/>
  <c r="BF127" i="120"/>
  <c r="BG127" i="120"/>
  <c r="BH127" i="120"/>
  <c r="BI127" i="120"/>
  <c r="BJ127" i="120"/>
  <c r="BK127" i="120"/>
  <c r="BL127" i="120"/>
  <c r="BM127" i="120"/>
  <c r="BN127" i="120"/>
  <c r="BO127" i="120"/>
  <c r="BP127" i="120"/>
  <c r="BQ127" i="120"/>
  <c r="BR127" i="120"/>
  <c r="BS127" i="120"/>
  <c r="BT127" i="120"/>
  <c r="BU127" i="120"/>
  <c r="BV127" i="120"/>
  <c r="BW127" i="120"/>
  <c r="BX127" i="120"/>
  <c r="BY127" i="120"/>
  <c r="BZ127" i="120"/>
  <c r="CA127" i="120"/>
  <c r="CB127" i="120"/>
  <c r="CC127" i="120"/>
  <c r="CD127" i="120"/>
  <c r="CE127" i="120"/>
  <c r="CF127" i="120"/>
  <c r="CG127" i="120"/>
  <c r="CH127" i="120"/>
  <c r="CI127" i="120"/>
  <c r="CJ127" i="120"/>
  <c r="CK127" i="120"/>
  <c r="CL127" i="120"/>
  <c r="K126" i="120"/>
  <c r="K35" i="120"/>
  <c r="K127" i="120"/>
  <c r="G126" i="120"/>
  <c r="G127" i="120" s="1"/>
  <c r="H126" i="120"/>
  <c r="H127" i="120" s="1"/>
  <c r="I126" i="120"/>
  <c r="I127" i="120"/>
  <c r="F126" i="120"/>
  <c r="F127" i="120" s="1"/>
  <c r="AX47" i="120"/>
  <c r="R45" i="120"/>
  <c r="R47" i="120"/>
  <c r="AY31" i="120"/>
  <c r="L31" i="120" s="1"/>
  <c r="L65" i="120"/>
  <c r="AY82" i="120"/>
  <c r="L85" i="120"/>
  <c r="L83" i="120"/>
  <c r="L7" i="120"/>
  <c r="L8" i="120"/>
  <c r="L9" i="120"/>
  <c r="L10" i="120"/>
  <c r="L11" i="120"/>
  <c r="L12" i="120"/>
  <c r="L13" i="120"/>
  <c r="AY14" i="120"/>
  <c r="L14" i="120"/>
  <c r="L16" i="120"/>
  <c r="L17" i="120"/>
  <c r="L18" i="120"/>
  <c r="L19" i="120"/>
  <c r="L20" i="120"/>
  <c r="L21" i="120" s="1"/>
  <c r="L118" i="120"/>
  <c r="L23" i="120"/>
  <c r="L24" i="120"/>
  <c r="L25" i="120"/>
  <c r="L26" i="120"/>
  <c r="L27" i="120"/>
  <c r="L28" i="120"/>
  <c r="L29" i="120"/>
  <c r="AY30" i="120"/>
  <c r="L30" i="120" s="1"/>
  <c r="L32" i="120"/>
  <c r="AY33" i="120"/>
  <c r="L33" i="120" s="1"/>
  <c r="L36" i="120"/>
  <c r="L37" i="120"/>
  <c r="L38" i="120"/>
  <c r="L39" i="120"/>
  <c r="L41" i="120"/>
  <c r="L42" i="120"/>
  <c r="L43" i="120"/>
  <c r="AY44" i="120"/>
  <c r="L44" i="120" s="1"/>
  <c r="L45" i="120"/>
  <c r="L46" i="120"/>
  <c r="AY47" i="120"/>
  <c r="L47" i="120"/>
  <c r="L48" i="120"/>
  <c r="L49" i="120"/>
  <c r="L50" i="120"/>
  <c r="AY51" i="120"/>
  <c r="L51" i="120" s="1"/>
  <c r="AY52" i="120"/>
  <c r="L52" i="120" s="1"/>
  <c r="AY53" i="120"/>
  <c r="L53" i="120" s="1"/>
  <c r="AY54" i="120"/>
  <c r="L54" i="120" s="1"/>
  <c r="L56" i="120"/>
  <c r="L57" i="120"/>
  <c r="L58" i="120"/>
  <c r="L59" i="120"/>
  <c r="L60" i="120"/>
  <c r="L61" i="120"/>
  <c r="L62" i="120"/>
  <c r="L63" i="120"/>
  <c r="L66" i="120"/>
  <c r="L67" i="120"/>
  <c r="L69" i="120"/>
  <c r="L70" i="120"/>
  <c r="L71" i="120" s="1"/>
  <c r="L73" i="120"/>
  <c r="L74" i="120"/>
  <c r="L75" i="120"/>
  <c r="L76" i="120"/>
  <c r="L77" i="120"/>
  <c r="L78" i="120"/>
  <c r="L84" i="120"/>
  <c r="L87" i="120"/>
  <c r="L89" i="120"/>
  <c r="L90" i="120"/>
  <c r="L91" i="120"/>
  <c r="L92" i="120"/>
  <c r="BD31" i="120"/>
  <c r="M31" i="120" s="1"/>
  <c r="M65" i="120"/>
  <c r="BD82" i="120"/>
  <c r="M84" i="120"/>
  <c r="M85" i="120"/>
  <c r="M7" i="120"/>
  <c r="M8" i="120"/>
  <c r="M9" i="120"/>
  <c r="M10" i="120"/>
  <c r="M11" i="120"/>
  <c r="M12" i="120"/>
  <c r="M13" i="120"/>
  <c r="BD14" i="120"/>
  <c r="M14" i="120"/>
  <c r="M16" i="120"/>
  <c r="M17" i="120"/>
  <c r="M18" i="120"/>
  <c r="M19" i="120"/>
  <c r="M20" i="120"/>
  <c r="M118" i="120"/>
  <c r="M21" i="120" s="1"/>
  <c r="M23" i="120"/>
  <c r="M24" i="120"/>
  <c r="M25" i="120"/>
  <c r="M26" i="120"/>
  <c r="M27" i="120"/>
  <c r="M28" i="120"/>
  <c r="M29" i="120"/>
  <c r="BD30" i="120"/>
  <c r="M30" i="120"/>
  <c r="M32" i="120"/>
  <c r="BD33" i="120"/>
  <c r="M33" i="120" s="1"/>
  <c r="M36" i="120"/>
  <c r="M37" i="120"/>
  <c r="M38" i="120"/>
  <c r="M39" i="120"/>
  <c r="M41" i="120"/>
  <c r="M42" i="120"/>
  <c r="M43" i="120"/>
  <c r="BD44" i="120"/>
  <c r="M44" i="120" s="1"/>
  <c r="M45" i="120"/>
  <c r="M46" i="120"/>
  <c r="BD47" i="120"/>
  <c r="M47" i="120" s="1"/>
  <c r="M48" i="120"/>
  <c r="M49" i="120"/>
  <c r="M50" i="120"/>
  <c r="BD51" i="120"/>
  <c r="M51" i="120" s="1"/>
  <c r="BD52" i="120"/>
  <c r="M52" i="120" s="1"/>
  <c r="BD53" i="120"/>
  <c r="M53" i="120"/>
  <c r="BD54" i="120"/>
  <c r="M54" i="120" s="1"/>
  <c r="M56" i="120"/>
  <c r="M57" i="120"/>
  <c r="M58" i="120"/>
  <c r="M59" i="120"/>
  <c r="M60" i="120"/>
  <c r="M61" i="120"/>
  <c r="M62" i="120"/>
  <c r="M63" i="120"/>
  <c r="M66" i="120"/>
  <c r="M67" i="120"/>
  <c r="M69" i="120"/>
  <c r="M70" i="120"/>
  <c r="M71" i="120"/>
  <c r="M73" i="120"/>
  <c r="M74" i="120"/>
  <c r="M75" i="120"/>
  <c r="M76" i="120"/>
  <c r="M77" i="120"/>
  <c r="M78" i="120"/>
  <c r="M83" i="120"/>
  <c r="M87" i="120"/>
  <c r="M89" i="120"/>
  <c r="M90" i="120"/>
  <c r="M91" i="120"/>
  <c r="M92" i="120"/>
  <c r="AW31" i="120"/>
  <c r="N31" i="120"/>
  <c r="AW82" i="120"/>
  <c r="N85" i="120"/>
  <c r="N84" i="120"/>
  <c r="N83" i="120"/>
  <c r="N7" i="120"/>
  <c r="N8" i="120"/>
  <c r="N9" i="120"/>
  <c r="N10" i="120"/>
  <c r="N11" i="120"/>
  <c r="N12" i="120"/>
  <c r="N13" i="120"/>
  <c r="AW14" i="120"/>
  <c r="N14" i="120"/>
  <c r="N16" i="120"/>
  <c r="N17" i="120"/>
  <c r="N18" i="120"/>
  <c r="N19" i="120"/>
  <c r="N20" i="120"/>
  <c r="N118" i="120"/>
  <c r="N21" i="120" s="1"/>
  <c r="N23" i="120"/>
  <c r="N24" i="120"/>
  <c r="N25" i="120"/>
  <c r="N26" i="120"/>
  <c r="N27" i="120"/>
  <c r="N28" i="120"/>
  <c r="N29" i="120"/>
  <c r="AW30" i="120"/>
  <c r="N30" i="120"/>
  <c r="N32" i="120"/>
  <c r="AW33" i="120"/>
  <c r="N33" i="120"/>
  <c r="N36" i="120"/>
  <c r="N37" i="120"/>
  <c r="N38" i="120"/>
  <c r="N39" i="120"/>
  <c r="N41" i="120"/>
  <c r="N42" i="120"/>
  <c r="N43" i="120"/>
  <c r="AW44" i="120"/>
  <c r="N44" i="120"/>
  <c r="N45" i="120"/>
  <c r="N46" i="120"/>
  <c r="AW47" i="120"/>
  <c r="N47" i="120" s="1"/>
  <c r="N48" i="120"/>
  <c r="N49" i="120"/>
  <c r="N50" i="120"/>
  <c r="AW51" i="120"/>
  <c r="N51" i="120" s="1"/>
  <c r="AW52" i="120"/>
  <c r="N52" i="120" s="1"/>
  <c r="AW53" i="120"/>
  <c r="N53" i="120"/>
  <c r="AW54" i="120"/>
  <c r="N54" i="120" s="1"/>
  <c r="N56" i="120"/>
  <c r="N57" i="120"/>
  <c r="N58" i="120"/>
  <c r="N59" i="120"/>
  <c r="N60" i="120"/>
  <c r="N61" i="120"/>
  <c r="N62" i="120"/>
  <c r="N63" i="120"/>
  <c r="AW66" i="120"/>
  <c r="N66" i="120" s="1"/>
  <c r="N67" i="120"/>
  <c r="N69" i="120"/>
  <c r="N70" i="120"/>
  <c r="N71" i="120" s="1"/>
  <c r="N73" i="120"/>
  <c r="N74" i="120"/>
  <c r="N75" i="120"/>
  <c r="N76" i="120"/>
  <c r="N77" i="120"/>
  <c r="N78" i="120"/>
  <c r="N87" i="120"/>
  <c r="N89" i="120"/>
  <c r="N90" i="120"/>
  <c r="N91" i="120"/>
  <c r="N92" i="120"/>
  <c r="BE31" i="120"/>
  <c r="O31" i="120"/>
  <c r="O65" i="120"/>
  <c r="BE82" i="120"/>
  <c r="O85" i="120"/>
  <c r="O84" i="120"/>
  <c r="O83" i="120"/>
  <c r="O7" i="120"/>
  <c r="O8" i="120"/>
  <c r="O9" i="120"/>
  <c r="O10" i="120"/>
  <c r="O11" i="120"/>
  <c r="O12" i="120"/>
  <c r="O13" i="120"/>
  <c r="BE14" i="120"/>
  <c r="O14" i="120"/>
  <c r="O16" i="120"/>
  <c r="O17" i="120"/>
  <c r="O18" i="120"/>
  <c r="O19" i="120"/>
  <c r="O20" i="120"/>
  <c r="O118" i="120"/>
  <c r="O21" i="120" s="1"/>
  <c r="O23" i="120"/>
  <c r="O24" i="120"/>
  <c r="O25" i="120"/>
  <c r="O26" i="120"/>
  <c r="O27" i="120"/>
  <c r="O28" i="120"/>
  <c r="O29" i="120"/>
  <c r="BE30" i="120"/>
  <c r="O30" i="120"/>
  <c r="O32" i="120"/>
  <c r="BE33" i="120"/>
  <c r="O33" i="120" s="1"/>
  <c r="O36" i="120"/>
  <c r="O37" i="120"/>
  <c r="O38" i="120"/>
  <c r="O39" i="120"/>
  <c r="O41" i="120"/>
  <c r="O42" i="120"/>
  <c r="O43" i="120"/>
  <c r="BE44" i="120"/>
  <c r="O44" i="120"/>
  <c r="O45" i="120"/>
  <c r="O46" i="120"/>
  <c r="BE47" i="120"/>
  <c r="O47" i="120" s="1"/>
  <c r="O48" i="120"/>
  <c r="O49" i="120"/>
  <c r="O50" i="120"/>
  <c r="BE51" i="120"/>
  <c r="O51" i="120" s="1"/>
  <c r="BE52" i="120"/>
  <c r="O52" i="120" s="1"/>
  <c r="BE53" i="120"/>
  <c r="O53" i="120"/>
  <c r="BE54" i="120"/>
  <c r="O54" i="120" s="1"/>
  <c r="O56" i="120"/>
  <c r="O57" i="120"/>
  <c r="O58" i="120"/>
  <c r="O59" i="120"/>
  <c r="O60" i="120"/>
  <c r="O61" i="120"/>
  <c r="O62" i="120"/>
  <c r="O63" i="120"/>
  <c r="O66" i="120"/>
  <c r="O67" i="120"/>
  <c r="O69" i="120"/>
  <c r="O70" i="120"/>
  <c r="O71" i="120"/>
  <c r="O73" i="120"/>
  <c r="O74" i="120"/>
  <c r="O75" i="120"/>
  <c r="O76" i="120"/>
  <c r="O77" i="120"/>
  <c r="O78" i="120"/>
  <c r="O87" i="120"/>
  <c r="O89" i="120"/>
  <c r="O90" i="120"/>
  <c r="O91" i="120"/>
  <c r="O92" i="120"/>
  <c r="P7" i="120"/>
  <c r="P8" i="120"/>
  <c r="P9" i="120"/>
  <c r="P10" i="120"/>
  <c r="P11" i="120"/>
  <c r="P12" i="120"/>
  <c r="P13" i="120"/>
  <c r="P14" i="120"/>
  <c r="P16" i="120"/>
  <c r="P17" i="120"/>
  <c r="P18" i="120"/>
  <c r="P19" i="120"/>
  <c r="P20" i="120"/>
  <c r="P21" i="120" s="1"/>
  <c r="P118" i="120"/>
  <c r="P23" i="120"/>
  <c r="P24" i="120"/>
  <c r="P25" i="120"/>
  <c r="P26" i="120"/>
  <c r="P27" i="120"/>
  <c r="P28" i="120"/>
  <c r="P29" i="120"/>
  <c r="P30" i="120"/>
  <c r="AZ31" i="120"/>
  <c r="P31" i="120" s="1"/>
  <c r="BA31" i="120"/>
  <c r="P32" i="120"/>
  <c r="P33" i="120"/>
  <c r="P36" i="120"/>
  <c r="P37" i="120"/>
  <c r="P38" i="120"/>
  <c r="P39" i="120"/>
  <c r="P41" i="120"/>
  <c r="P42" i="120"/>
  <c r="P43" i="120"/>
  <c r="BA44" i="120"/>
  <c r="P44" i="120"/>
  <c r="P45" i="120"/>
  <c r="P46" i="120"/>
  <c r="P48" i="120"/>
  <c r="P49" i="120"/>
  <c r="P50" i="120"/>
  <c r="P95" i="120"/>
  <c r="P51" i="120" s="1"/>
  <c r="AZ52" i="120"/>
  <c r="BA52" i="120"/>
  <c r="P52" i="120"/>
  <c r="P53" i="120" s="1"/>
  <c r="P98" i="120"/>
  <c r="P97" i="120"/>
  <c r="P54" i="120"/>
  <c r="P56" i="120"/>
  <c r="P57" i="120"/>
  <c r="P58" i="120"/>
  <c r="P59" i="120"/>
  <c r="P60" i="120"/>
  <c r="P61" i="120"/>
  <c r="P62" i="120"/>
  <c r="P63" i="120"/>
  <c r="P65" i="120"/>
  <c r="P89" i="120"/>
  <c r="P90" i="120"/>
  <c r="P91" i="120"/>
  <c r="P92" i="120"/>
  <c r="BA66" i="120"/>
  <c r="P66" i="120"/>
  <c r="P67" i="120"/>
  <c r="P69" i="120"/>
  <c r="P70" i="120"/>
  <c r="P73" i="120"/>
  <c r="P74" i="120"/>
  <c r="P75" i="120"/>
  <c r="P76" i="120"/>
  <c r="P77" i="120"/>
  <c r="P78" i="120"/>
  <c r="P87" i="120"/>
  <c r="Q7" i="120"/>
  <c r="Q8" i="120"/>
  <c r="Q9" i="120"/>
  <c r="Q10" i="120"/>
  <c r="Q11" i="120"/>
  <c r="Q12" i="120"/>
  <c r="Q13" i="120"/>
  <c r="AU14" i="120"/>
  <c r="Q14" i="120"/>
  <c r="Q16" i="120"/>
  <c r="Q17" i="120"/>
  <c r="Q18" i="120"/>
  <c r="Q19" i="120"/>
  <c r="Q20" i="120"/>
  <c r="Q21" i="120"/>
  <c r="Q22" i="120"/>
  <c r="Q23" i="120"/>
  <c r="Q24" i="120"/>
  <c r="Q25" i="120"/>
  <c r="Q26" i="120"/>
  <c r="Q27" i="120"/>
  <c r="Q28" i="120"/>
  <c r="Q29" i="120"/>
  <c r="AU30" i="120"/>
  <c r="Q30" i="120"/>
  <c r="AU31" i="120"/>
  <c r="Q31" i="120" s="1"/>
  <c r="Q32" i="120"/>
  <c r="AU33" i="120"/>
  <c r="Q33" i="120"/>
  <c r="Q36" i="120"/>
  <c r="Q37" i="120"/>
  <c r="Q38" i="120"/>
  <c r="Q39" i="120"/>
  <c r="Q41" i="120"/>
  <c r="Q42" i="120"/>
  <c r="Q43" i="120"/>
  <c r="AU44" i="120"/>
  <c r="Q44" i="120"/>
  <c r="Q45" i="120"/>
  <c r="Q46" i="120"/>
  <c r="AU47" i="120"/>
  <c r="Q47" i="120"/>
  <c r="Q48" i="120"/>
  <c r="Q49" i="120"/>
  <c r="Q50" i="120"/>
  <c r="Q51" i="120"/>
  <c r="Q52" i="120"/>
  <c r="AU52" i="120"/>
  <c r="AU53" i="120"/>
  <c r="Q53" i="120" s="1"/>
  <c r="Q54" i="120"/>
  <c r="Q56" i="120"/>
  <c r="Q57" i="120"/>
  <c r="Q58" i="120"/>
  <c r="Q59" i="120"/>
  <c r="Q60" i="120"/>
  <c r="Q61" i="120"/>
  <c r="Q62" i="120"/>
  <c r="Q63" i="120"/>
  <c r="Q65" i="120"/>
  <c r="Q69" i="120"/>
  <c r="Q70" i="120"/>
  <c r="Q71" i="120"/>
  <c r="Q73" i="120"/>
  <c r="Q74" i="120"/>
  <c r="Q75" i="120"/>
  <c r="Q76" i="120"/>
  <c r="Q77" i="120"/>
  <c r="Q78" i="120"/>
  <c r="Q87" i="120"/>
  <c r="Q89" i="120"/>
  <c r="Q90" i="120"/>
  <c r="Q91" i="120"/>
  <c r="Q92" i="120"/>
  <c r="Q66" i="120"/>
  <c r="Q67" i="120"/>
  <c r="AT31" i="120"/>
  <c r="AX31" i="120"/>
  <c r="R23" i="120"/>
  <c r="R31" i="120" s="1"/>
  <c r="R65" i="120"/>
  <c r="AX82" i="120"/>
  <c r="R7" i="120"/>
  <c r="R8" i="120"/>
  <c r="R9" i="120"/>
  <c r="R10" i="120"/>
  <c r="R11" i="120"/>
  <c r="R12" i="120"/>
  <c r="R13" i="120"/>
  <c r="R16" i="120"/>
  <c r="R17" i="120"/>
  <c r="R18" i="120"/>
  <c r="R19" i="120"/>
  <c r="R20" i="120"/>
  <c r="R118" i="120"/>
  <c r="R21" i="120"/>
  <c r="R24" i="120"/>
  <c r="R25" i="120"/>
  <c r="R26" i="120"/>
  <c r="R27" i="120"/>
  <c r="R28" i="120"/>
  <c r="R29" i="120"/>
  <c r="R30" i="120"/>
  <c r="R36" i="120"/>
  <c r="R37" i="120"/>
  <c r="R38" i="120"/>
  <c r="R39" i="120"/>
  <c r="R41" i="120"/>
  <c r="R42" i="120"/>
  <c r="R51" i="120" s="1"/>
  <c r="R43" i="120"/>
  <c r="AX44" i="120"/>
  <c r="R44" i="120" s="1"/>
  <c r="R46" i="120"/>
  <c r="R48" i="120"/>
  <c r="R49" i="120"/>
  <c r="R50" i="120"/>
  <c r="R95" i="120"/>
  <c r="AT52" i="120"/>
  <c r="AX52" i="120"/>
  <c r="R52" i="120" s="1"/>
  <c r="R53" i="120" s="1"/>
  <c r="R98" i="120"/>
  <c r="R97" i="120"/>
  <c r="R54" i="120"/>
  <c r="R56" i="120"/>
  <c r="R57" i="120"/>
  <c r="R58" i="120"/>
  <c r="R59" i="120"/>
  <c r="R60" i="120"/>
  <c r="R61" i="120"/>
  <c r="R62" i="120"/>
  <c r="R63" i="120"/>
  <c r="AX66" i="120"/>
  <c r="R66" i="120"/>
  <c r="R67" i="120"/>
  <c r="R69" i="120"/>
  <c r="R70" i="120"/>
  <c r="R71" i="120"/>
  <c r="R73" i="120"/>
  <c r="R74" i="120"/>
  <c r="R75" i="120"/>
  <c r="R76" i="120"/>
  <c r="R77" i="120"/>
  <c r="R78" i="120"/>
  <c r="R87" i="120"/>
  <c r="R89" i="120"/>
  <c r="R90" i="120"/>
  <c r="R91" i="120"/>
  <c r="R92" i="120"/>
  <c r="AV31" i="120"/>
  <c r="S31" i="120" s="1"/>
  <c r="S65" i="120"/>
  <c r="AV82" i="120"/>
  <c r="S83" i="120"/>
  <c r="S84" i="120"/>
  <c r="S85" i="120"/>
  <c r="S7" i="120"/>
  <c r="S8" i="120"/>
  <c r="S9" i="120"/>
  <c r="S10" i="120"/>
  <c r="S11" i="120"/>
  <c r="S12" i="120"/>
  <c r="S13" i="120"/>
  <c r="AV14" i="120"/>
  <c r="S14" i="120" s="1"/>
  <c r="S16" i="120"/>
  <c r="S17" i="120"/>
  <c r="S18" i="120"/>
  <c r="S19" i="120"/>
  <c r="S20" i="120"/>
  <c r="S118" i="120"/>
  <c r="S21" i="120"/>
  <c r="S23" i="120"/>
  <c r="S24" i="120"/>
  <c r="S25" i="120"/>
  <c r="S26" i="120"/>
  <c r="S27" i="120"/>
  <c r="S28" i="120"/>
  <c r="S29" i="120"/>
  <c r="AV30" i="120"/>
  <c r="S30" i="120"/>
  <c r="S32" i="120"/>
  <c r="AV33" i="120"/>
  <c r="S33" i="120" s="1"/>
  <c r="S36" i="120"/>
  <c r="S37" i="120"/>
  <c r="S38" i="120"/>
  <c r="S39" i="120"/>
  <c r="S41" i="120"/>
  <c r="S42" i="120"/>
  <c r="S43" i="120"/>
  <c r="AV44" i="120"/>
  <c r="S44" i="120"/>
  <c r="S45" i="120"/>
  <c r="S46" i="120"/>
  <c r="AV47" i="120"/>
  <c r="S47" i="120"/>
  <c r="S48" i="120"/>
  <c r="S49" i="120"/>
  <c r="S50" i="120"/>
  <c r="AV51" i="120"/>
  <c r="S51" i="120"/>
  <c r="AV52" i="120"/>
  <c r="AV53" i="120" s="1"/>
  <c r="S53" i="120" s="1"/>
  <c r="AV54" i="120"/>
  <c r="S54" i="120"/>
  <c r="S56" i="120"/>
  <c r="S57" i="120"/>
  <c r="S58" i="120"/>
  <c r="S59" i="120"/>
  <c r="S60" i="120"/>
  <c r="S61" i="120"/>
  <c r="S62" i="120"/>
  <c r="S63" i="120"/>
  <c r="AV66" i="120"/>
  <c r="S66" i="120"/>
  <c r="S67" i="120"/>
  <c r="S69" i="120"/>
  <c r="S70" i="120"/>
  <c r="S71" i="120"/>
  <c r="S73" i="120"/>
  <c r="S74" i="120"/>
  <c r="S75" i="120"/>
  <c r="S76" i="120"/>
  <c r="S77" i="120"/>
  <c r="S78" i="120"/>
  <c r="S87" i="120"/>
  <c r="S89" i="120"/>
  <c r="S90" i="120"/>
  <c r="S91" i="120"/>
  <c r="S92" i="120"/>
  <c r="BB31" i="120"/>
  <c r="T31" i="120" s="1"/>
  <c r="BB82" i="120"/>
  <c r="T83" i="120"/>
  <c r="T84" i="120"/>
  <c r="T85" i="120"/>
  <c r="T7" i="120"/>
  <c r="T8" i="120"/>
  <c r="T9" i="120"/>
  <c r="T107" i="120" s="1"/>
  <c r="T10" i="120"/>
  <c r="T11" i="120"/>
  <c r="T12" i="120"/>
  <c r="T13" i="120"/>
  <c r="BB14" i="120"/>
  <c r="T14" i="120" s="1"/>
  <c r="T16" i="120"/>
  <c r="T17" i="120"/>
  <c r="T18" i="120"/>
  <c r="T19" i="120"/>
  <c r="T20" i="120"/>
  <c r="T118" i="120"/>
  <c r="T21" i="120"/>
  <c r="T23" i="120"/>
  <c r="T24" i="120"/>
  <c r="T25" i="120"/>
  <c r="T26" i="120"/>
  <c r="T27" i="120"/>
  <c r="T28" i="120"/>
  <c r="T29" i="120"/>
  <c r="BB30" i="120"/>
  <c r="T30" i="120" s="1"/>
  <c r="T32" i="120"/>
  <c r="BB33" i="120"/>
  <c r="T33" i="120"/>
  <c r="T36" i="120"/>
  <c r="T37" i="120"/>
  <c r="T38" i="120"/>
  <c r="T39" i="120"/>
  <c r="T41" i="120"/>
  <c r="T42" i="120"/>
  <c r="T43" i="120"/>
  <c r="BB44" i="120"/>
  <c r="T44" i="120"/>
  <c r="T45" i="120"/>
  <c r="T46" i="120"/>
  <c r="BB47" i="120"/>
  <c r="T47" i="120"/>
  <c r="T48" i="120"/>
  <c r="T49" i="120"/>
  <c r="T50" i="120"/>
  <c r="BB51" i="120"/>
  <c r="T51" i="120"/>
  <c r="BB52" i="120"/>
  <c r="BB53" i="120" s="1"/>
  <c r="T53" i="120" s="1"/>
  <c r="T52" i="120"/>
  <c r="BB54" i="120"/>
  <c r="T54" i="120"/>
  <c r="T56" i="120"/>
  <c r="T57" i="120"/>
  <c r="T58" i="120"/>
  <c r="T59" i="120"/>
  <c r="T60" i="120"/>
  <c r="T61" i="120"/>
  <c r="T62" i="120"/>
  <c r="T63" i="120"/>
  <c r="T66" i="120"/>
  <c r="T67" i="120"/>
  <c r="T69" i="120"/>
  <c r="T71" i="120" s="1"/>
  <c r="T70" i="120"/>
  <c r="T73" i="120"/>
  <c r="T74" i="120"/>
  <c r="T75" i="120"/>
  <c r="T76" i="120"/>
  <c r="T77" i="120"/>
  <c r="T78" i="120"/>
  <c r="T87" i="120"/>
  <c r="T89" i="120"/>
  <c r="T90" i="120"/>
  <c r="T91" i="120"/>
  <c r="T92" i="120"/>
  <c r="BC31" i="120"/>
  <c r="U31" i="120" s="1"/>
  <c r="U65" i="120"/>
  <c r="BC82" i="120"/>
  <c r="U83" i="120"/>
  <c r="U7" i="120"/>
  <c r="U8" i="120"/>
  <c r="U9" i="120"/>
  <c r="U10" i="120"/>
  <c r="U11" i="120"/>
  <c r="U12" i="120"/>
  <c r="U13" i="120"/>
  <c r="BC14" i="120"/>
  <c r="U14" i="120"/>
  <c r="U16" i="120"/>
  <c r="U17" i="120"/>
  <c r="U18" i="120"/>
  <c r="U19" i="120"/>
  <c r="U20" i="120"/>
  <c r="U118" i="120"/>
  <c r="U21" i="120" s="1"/>
  <c r="D18" i="122" s="1"/>
  <c r="U23" i="120"/>
  <c r="U24" i="120"/>
  <c r="U25" i="120"/>
  <c r="U26" i="120"/>
  <c r="U27" i="120"/>
  <c r="U28" i="120"/>
  <c r="U29" i="120"/>
  <c r="BC30" i="120"/>
  <c r="U30" i="120"/>
  <c r="U32" i="120"/>
  <c r="BC33" i="120"/>
  <c r="U33" i="120"/>
  <c r="U36" i="120"/>
  <c r="U37" i="120"/>
  <c r="U38" i="120"/>
  <c r="U39" i="120"/>
  <c r="U41" i="120"/>
  <c r="U42" i="120"/>
  <c r="U43" i="120"/>
  <c r="BC44" i="120"/>
  <c r="U44" i="120" s="1"/>
  <c r="U45" i="120"/>
  <c r="U46" i="120"/>
  <c r="BC47" i="120"/>
  <c r="U47" i="120"/>
  <c r="U48" i="120"/>
  <c r="U49" i="120"/>
  <c r="U50" i="120"/>
  <c r="BC51" i="120"/>
  <c r="U51" i="120"/>
  <c r="BC52" i="120"/>
  <c r="U52" i="120"/>
  <c r="BC53" i="120"/>
  <c r="U53" i="120"/>
  <c r="BC54" i="120"/>
  <c r="U54" i="120" s="1"/>
  <c r="U56" i="120"/>
  <c r="U57" i="120"/>
  <c r="U58" i="120"/>
  <c r="U59" i="120"/>
  <c r="U60" i="120"/>
  <c r="U61" i="120"/>
  <c r="U62" i="120"/>
  <c r="U63" i="120"/>
  <c r="U66" i="120"/>
  <c r="U67" i="120"/>
  <c r="U69" i="120"/>
  <c r="U70" i="120"/>
  <c r="U71" i="120"/>
  <c r="U73" i="120"/>
  <c r="U74" i="120"/>
  <c r="U75" i="120"/>
  <c r="U76" i="120"/>
  <c r="U77" i="120"/>
  <c r="U78" i="120"/>
  <c r="U84" i="120"/>
  <c r="U85" i="120"/>
  <c r="U87" i="120"/>
  <c r="U89" i="120"/>
  <c r="U90" i="120"/>
  <c r="U91" i="120"/>
  <c r="U92" i="120"/>
  <c r="BG31" i="120"/>
  <c r="V31" i="120" s="1"/>
  <c r="BJ31" i="120"/>
  <c r="V23" i="120"/>
  <c r="BG82" i="120"/>
  <c r="BJ82" i="120"/>
  <c r="V7" i="120"/>
  <c r="V8" i="120"/>
  <c r="V9" i="120"/>
  <c r="V10" i="120"/>
  <c r="V11" i="120"/>
  <c r="V12" i="120"/>
  <c r="V13" i="120"/>
  <c r="V14" i="120"/>
  <c r="V16" i="120"/>
  <c r="V17" i="120" s="1"/>
  <c r="V18" i="120"/>
  <c r="V19" i="120"/>
  <c r="V20" i="120"/>
  <c r="V118" i="120"/>
  <c r="V21" i="120" s="1"/>
  <c r="V24" i="120"/>
  <c r="V25" i="120"/>
  <c r="V26" i="120"/>
  <c r="V27" i="120"/>
  <c r="V28" i="120"/>
  <c r="V29" i="120"/>
  <c r="V30" i="120"/>
  <c r="V32" i="120"/>
  <c r="V33" i="120"/>
  <c r="V36" i="120"/>
  <c r="V37" i="120"/>
  <c r="V38" i="120"/>
  <c r="V39" i="120"/>
  <c r="V41" i="120"/>
  <c r="V42" i="120"/>
  <c r="V43" i="120"/>
  <c r="BJ44" i="120"/>
  <c r="V45" i="120"/>
  <c r="V46" i="120"/>
  <c r="V48" i="120"/>
  <c r="V49" i="120"/>
  <c r="V50" i="120"/>
  <c r="V95" i="120"/>
  <c r="V51" i="120"/>
  <c r="BJ52" i="120"/>
  <c r="V52" i="120" s="1"/>
  <c r="V53" i="120" s="1"/>
  <c r="V98" i="120"/>
  <c r="V97" i="120"/>
  <c r="V56" i="120"/>
  <c r="V57" i="120"/>
  <c r="V58" i="120"/>
  <c r="V59" i="120"/>
  <c r="V60" i="120"/>
  <c r="V61" i="120"/>
  <c r="V62" i="120"/>
  <c r="V63" i="120"/>
  <c r="BJ66" i="120"/>
  <c r="V66" i="120" s="1"/>
  <c r="V67" i="120"/>
  <c r="V69" i="120"/>
  <c r="V70" i="120"/>
  <c r="V71" i="120"/>
  <c r="V73" i="120"/>
  <c r="V74" i="120"/>
  <c r="V75" i="120"/>
  <c r="V76" i="120"/>
  <c r="V77" i="120"/>
  <c r="V78" i="120"/>
  <c r="V87" i="120"/>
  <c r="V89" i="120"/>
  <c r="V90" i="120"/>
  <c r="V91" i="120"/>
  <c r="V92" i="120"/>
  <c r="BR31" i="120"/>
  <c r="W31" i="120"/>
  <c r="BR82" i="120"/>
  <c r="W83" i="120"/>
  <c r="W84" i="120"/>
  <c r="W85" i="120"/>
  <c r="W7" i="120"/>
  <c r="W8" i="120"/>
  <c r="W9" i="120"/>
  <c r="W10" i="120"/>
  <c r="W11" i="120"/>
  <c r="W12" i="120"/>
  <c r="W13" i="120"/>
  <c r="BR14" i="120"/>
  <c r="W14" i="120" s="1"/>
  <c r="W16" i="120"/>
  <c r="W17" i="120"/>
  <c r="W18" i="120"/>
  <c r="W19" i="120"/>
  <c r="W20" i="120"/>
  <c r="W118" i="120"/>
  <c r="W21" i="120"/>
  <c r="W23" i="120"/>
  <c r="W24" i="120"/>
  <c r="W25" i="120"/>
  <c r="W26" i="120"/>
  <c r="W27" i="120"/>
  <c r="W28" i="120"/>
  <c r="W29" i="120"/>
  <c r="BR30" i="120"/>
  <c r="W30" i="120"/>
  <c r="W32" i="120"/>
  <c r="BR33" i="120"/>
  <c r="W33" i="120" s="1"/>
  <c r="W36" i="120"/>
  <c r="W37" i="120"/>
  <c r="W38" i="120"/>
  <c r="W39" i="120"/>
  <c r="W41" i="120"/>
  <c r="W42" i="120"/>
  <c r="W43" i="120"/>
  <c r="BR44" i="120"/>
  <c r="W44" i="120"/>
  <c r="W45" i="120"/>
  <c r="W46" i="120"/>
  <c r="BR47" i="120"/>
  <c r="W47" i="120" s="1"/>
  <c r="W48" i="120"/>
  <c r="W49" i="120"/>
  <c r="W50" i="120"/>
  <c r="BR51" i="120"/>
  <c r="W51" i="120" s="1"/>
  <c r="BR52" i="120"/>
  <c r="W52" i="120"/>
  <c r="BR53" i="120"/>
  <c r="W53" i="120"/>
  <c r="BR54" i="120"/>
  <c r="W54" i="120"/>
  <c r="W56" i="120"/>
  <c r="W57" i="120"/>
  <c r="W58" i="120"/>
  <c r="W59" i="120"/>
  <c r="W60" i="120"/>
  <c r="W61" i="120"/>
  <c r="W62" i="120"/>
  <c r="W63" i="120"/>
  <c r="W65" i="120"/>
  <c r="BR66" i="120"/>
  <c r="W66" i="120"/>
  <c r="W67" i="120"/>
  <c r="W69" i="120"/>
  <c r="W71" i="120" s="1"/>
  <c r="W70" i="120"/>
  <c r="W73" i="120"/>
  <c r="W74" i="120"/>
  <c r="W75" i="120"/>
  <c r="W76" i="120"/>
  <c r="W77" i="120"/>
  <c r="W78" i="120"/>
  <c r="W87" i="120"/>
  <c r="W89" i="120"/>
  <c r="W90" i="120"/>
  <c r="W91" i="120"/>
  <c r="W92" i="120"/>
  <c r="BH31" i="120"/>
  <c r="X31" i="120" s="1"/>
  <c r="BI31" i="120"/>
  <c r="X23" i="120"/>
  <c r="X65" i="120"/>
  <c r="BH82" i="120"/>
  <c r="BI82" i="120"/>
  <c r="X7" i="120"/>
  <c r="X8" i="120"/>
  <c r="X9" i="120"/>
  <c r="X10" i="120"/>
  <c r="X11" i="120"/>
  <c r="X12" i="120"/>
  <c r="X13" i="120"/>
  <c r="X14" i="120" s="1"/>
  <c r="X16" i="120"/>
  <c r="X17" i="120" s="1"/>
  <c r="X18" i="120"/>
  <c r="X19" i="120"/>
  <c r="X20" i="120"/>
  <c r="X118" i="120"/>
  <c r="X21" i="120" s="1"/>
  <c r="X24" i="120"/>
  <c r="X25" i="120"/>
  <c r="X26" i="120"/>
  <c r="X27" i="120"/>
  <c r="X28" i="120"/>
  <c r="X29" i="120"/>
  <c r="X30" i="120"/>
  <c r="X32" i="120"/>
  <c r="X33" i="120"/>
  <c r="X36" i="120"/>
  <c r="X37" i="120"/>
  <c r="X38" i="120"/>
  <c r="X39" i="120"/>
  <c r="X41" i="120"/>
  <c r="X42" i="120"/>
  <c r="X43" i="120"/>
  <c r="BI44" i="120"/>
  <c r="X44" i="120" s="1"/>
  <c r="X45" i="120"/>
  <c r="X46" i="120"/>
  <c r="BH47" i="120"/>
  <c r="BI47" i="120"/>
  <c r="X47" i="120" s="1"/>
  <c r="X48" i="120"/>
  <c r="X49" i="120"/>
  <c r="X50" i="120"/>
  <c r="X95" i="120"/>
  <c r="X51" i="120" s="1"/>
  <c r="BH52" i="120"/>
  <c r="X52" i="120" s="1"/>
  <c r="X53" i="120" s="1"/>
  <c r="BI52" i="120"/>
  <c r="X98" i="120"/>
  <c r="X97" i="120"/>
  <c r="X54" i="120" s="1"/>
  <c r="X56" i="120"/>
  <c r="X57" i="120"/>
  <c r="X58" i="120"/>
  <c r="X59" i="120"/>
  <c r="X60" i="120"/>
  <c r="X61" i="120"/>
  <c r="X62" i="120"/>
  <c r="X63" i="120"/>
  <c r="BI66" i="120"/>
  <c r="X66" i="120" s="1"/>
  <c r="X67" i="120"/>
  <c r="X69" i="120"/>
  <c r="X70" i="120"/>
  <c r="X71" i="120"/>
  <c r="X73" i="120"/>
  <c r="X74" i="120"/>
  <c r="X75" i="120"/>
  <c r="X76" i="120"/>
  <c r="X77" i="120"/>
  <c r="X78" i="120"/>
  <c r="X87" i="120"/>
  <c r="X89" i="120"/>
  <c r="X90" i="120"/>
  <c r="X91" i="120"/>
  <c r="X92" i="120"/>
  <c r="BK31" i="120"/>
  <c r="Y31" i="120" s="1"/>
  <c r="BL31" i="120"/>
  <c r="BN31" i="120"/>
  <c r="Y23" i="120"/>
  <c r="Y65" i="120"/>
  <c r="BK82" i="120"/>
  <c r="BL82" i="120"/>
  <c r="BN82" i="120"/>
  <c r="Y7" i="120"/>
  <c r="Y8" i="120"/>
  <c r="Y9" i="120"/>
  <c r="Y10" i="120"/>
  <c r="Y11" i="120"/>
  <c r="Y12" i="120"/>
  <c r="Y13" i="120"/>
  <c r="Y14" i="120" s="1"/>
  <c r="Y16" i="120"/>
  <c r="Y17" i="120" s="1"/>
  <c r="Y18" i="120"/>
  <c r="Y19" i="120"/>
  <c r="Y20" i="120"/>
  <c r="Y118" i="120"/>
  <c r="Y21" i="120" s="1"/>
  <c r="Y24" i="120"/>
  <c r="Y25" i="120"/>
  <c r="Y26" i="120"/>
  <c r="Y27" i="120"/>
  <c r="Y28" i="120"/>
  <c r="Y29" i="120"/>
  <c r="Y30" i="120"/>
  <c r="Y32" i="120"/>
  <c r="Y33" i="120"/>
  <c r="Y36" i="120"/>
  <c r="Y37" i="120"/>
  <c r="Y38" i="120"/>
  <c r="Y39" i="120"/>
  <c r="Y41" i="120"/>
  <c r="Y42" i="120"/>
  <c r="Y43" i="120"/>
  <c r="BN44" i="120"/>
  <c r="Y44" i="120" s="1"/>
  <c r="Y45" i="120"/>
  <c r="Y46" i="120"/>
  <c r="Y48" i="120"/>
  <c r="Y49" i="120"/>
  <c r="Y50" i="120"/>
  <c r="Y95" i="120"/>
  <c r="Y51" i="120" s="1"/>
  <c r="BK52" i="120"/>
  <c r="BL52" i="120"/>
  <c r="BN52" i="120"/>
  <c r="Y52" i="120"/>
  <c r="Y53" i="120" s="1"/>
  <c r="Y98" i="120"/>
  <c r="Y97" i="120"/>
  <c r="Y54" i="120" s="1"/>
  <c r="Y56" i="120"/>
  <c r="Y57" i="120"/>
  <c r="Y58" i="120"/>
  <c r="Y59" i="120"/>
  <c r="Y60" i="120"/>
  <c r="Y61" i="120"/>
  <c r="Y62" i="120"/>
  <c r="Y63" i="120"/>
  <c r="Y66" i="120"/>
  <c r="Y67" i="120"/>
  <c r="Y69" i="120"/>
  <c r="Y71" i="120" s="1"/>
  <c r="Y70" i="120"/>
  <c r="Y73" i="120"/>
  <c r="Y74" i="120"/>
  <c r="Y75" i="120"/>
  <c r="Y76" i="120"/>
  <c r="Y77" i="120"/>
  <c r="Y78" i="120"/>
  <c r="Y87" i="120"/>
  <c r="Y89" i="120"/>
  <c r="Y90" i="120"/>
  <c r="Y91" i="120"/>
  <c r="Y92" i="120"/>
  <c r="BM31" i="120"/>
  <c r="Z31" i="120" s="1"/>
  <c r="Z65" i="120"/>
  <c r="BM82" i="120"/>
  <c r="Z85" i="120"/>
  <c r="Z84" i="120"/>
  <c r="Z7" i="120"/>
  <c r="Z8" i="120"/>
  <c r="Z9" i="120"/>
  <c r="Z10" i="120"/>
  <c r="Z11" i="120"/>
  <c r="Z12" i="120"/>
  <c r="Z13" i="120"/>
  <c r="BM14" i="120"/>
  <c r="Z14" i="120" s="1"/>
  <c r="Z16" i="120"/>
  <c r="Z17" i="120"/>
  <c r="Z18" i="120"/>
  <c r="Z19" i="120"/>
  <c r="Z20" i="120"/>
  <c r="Z118" i="120"/>
  <c r="Z21" i="120" s="1"/>
  <c r="Z23" i="120"/>
  <c r="Z24" i="120"/>
  <c r="Z25" i="120"/>
  <c r="Z26" i="120"/>
  <c r="Z27" i="120"/>
  <c r="Z28" i="120"/>
  <c r="Z29" i="120"/>
  <c r="BM30" i="120"/>
  <c r="Z30" i="120"/>
  <c r="Z32" i="120"/>
  <c r="BM33" i="120"/>
  <c r="Z33" i="120"/>
  <c r="Z36" i="120"/>
  <c r="Z37" i="120"/>
  <c r="Z38" i="120"/>
  <c r="Z39" i="120"/>
  <c r="Z41" i="120"/>
  <c r="Z42" i="120"/>
  <c r="Z43" i="120"/>
  <c r="BM44" i="120"/>
  <c r="Z44" i="120"/>
  <c r="Z45" i="120"/>
  <c r="Z46" i="120"/>
  <c r="BM47" i="120"/>
  <c r="Z47" i="120" s="1"/>
  <c r="Z48" i="120"/>
  <c r="Z49" i="120"/>
  <c r="Z50" i="120"/>
  <c r="BM51" i="120"/>
  <c r="Z51" i="120" s="1"/>
  <c r="BM52" i="120"/>
  <c r="Z52" i="120"/>
  <c r="BM53" i="120"/>
  <c r="Z53" i="120"/>
  <c r="BM54" i="120"/>
  <c r="Z54" i="120"/>
  <c r="Z56" i="120"/>
  <c r="Z57" i="120"/>
  <c r="Z58" i="120"/>
  <c r="Z59" i="120"/>
  <c r="Z60" i="120"/>
  <c r="Z61" i="120"/>
  <c r="Z62" i="120"/>
  <c r="Z63" i="120"/>
  <c r="Z66" i="120"/>
  <c r="Z67" i="120"/>
  <c r="Z69" i="120"/>
  <c r="Z70" i="120"/>
  <c r="Z71" i="120"/>
  <c r="Z73" i="120"/>
  <c r="Z74" i="120"/>
  <c r="Z75" i="120"/>
  <c r="Z76" i="120"/>
  <c r="Z77" i="120"/>
  <c r="Z78" i="120"/>
  <c r="Z83" i="120"/>
  <c r="Z87" i="120"/>
  <c r="Z89" i="120"/>
  <c r="Z90" i="120"/>
  <c r="Z91" i="120"/>
  <c r="Z92" i="120"/>
  <c r="BO31" i="120"/>
  <c r="AA31" i="120" s="1"/>
  <c r="BQ31" i="120"/>
  <c r="AA23" i="120"/>
  <c r="AA65" i="120"/>
  <c r="BO82" i="120"/>
  <c r="BQ82" i="120"/>
  <c r="AA7" i="120"/>
  <c r="AA8" i="120"/>
  <c r="AA9" i="120"/>
  <c r="AA10" i="120"/>
  <c r="AA11" i="120"/>
  <c r="AA12" i="120"/>
  <c r="AA13" i="120"/>
  <c r="AA14" i="120"/>
  <c r="AA16" i="120"/>
  <c r="AA17" i="120"/>
  <c r="AA18" i="120"/>
  <c r="AA19" i="120"/>
  <c r="AA20" i="120"/>
  <c r="AA118" i="120"/>
  <c r="AA21" i="120"/>
  <c r="AA24" i="120"/>
  <c r="AA25" i="120"/>
  <c r="AA26" i="120"/>
  <c r="AA27" i="120"/>
  <c r="AA28" i="120"/>
  <c r="AA29" i="120"/>
  <c r="AA30" i="120"/>
  <c r="AA32" i="120"/>
  <c r="AA33" i="120" s="1"/>
  <c r="AA36" i="120"/>
  <c r="AA37" i="120"/>
  <c r="AA38" i="120"/>
  <c r="AA39" i="120"/>
  <c r="AA41" i="120"/>
  <c r="AA42" i="120"/>
  <c r="AA54" i="120" s="1"/>
  <c r="AA43" i="120"/>
  <c r="BQ44" i="120"/>
  <c r="AA45" i="120"/>
  <c r="AA46" i="120"/>
  <c r="AA48" i="120"/>
  <c r="AA49" i="120"/>
  <c r="AA50" i="120"/>
  <c r="AA95" i="120"/>
  <c r="AA51" i="120"/>
  <c r="BO52" i="120"/>
  <c r="BQ52" i="120"/>
  <c r="AA52" i="120"/>
  <c r="AA98" i="120"/>
  <c r="AA53" i="120"/>
  <c r="AA97" i="120"/>
  <c r="AA56" i="120"/>
  <c r="AA57" i="120"/>
  <c r="AA58" i="120"/>
  <c r="AA59" i="120"/>
  <c r="AA60" i="120"/>
  <c r="AA61" i="120"/>
  <c r="AA62" i="120"/>
  <c r="AA63" i="120"/>
  <c r="BQ66" i="120"/>
  <c r="AA66" i="120"/>
  <c r="AA67" i="120"/>
  <c r="AA69" i="120"/>
  <c r="AA70" i="120"/>
  <c r="AA71" i="120" s="1"/>
  <c r="AA73" i="120"/>
  <c r="AA74" i="120"/>
  <c r="AA75" i="120"/>
  <c r="AA76" i="120"/>
  <c r="AA77" i="120"/>
  <c r="AA78" i="120"/>
  <c r="AA87" i="120"/>
  <c r="AA89" i="120"/>
  <c r="AA90" i="120"/>
  <c r="AA91" i="120"/>
  <c r="AA92" i="120"/>
  <c r="BP31" i="120"/>
  <c r="AB31" i="120"/>
  <c r="AB65" i="120"/>
  <c r="BP82" i="120"/>
  <c r="AB83" i="120"/>
  <c r="AB84" i="120"/>
  <c r="AB85" i="120"/>
  <c r="AB7" i="120"/>
  <c r="AB8" i="120"/>
  <c r="AB9" i="120"/>
  <c r="AB10" i="120"/>
  <c r="AB11" i="120"/>
  <c r="AB12" i="120"/>
  <c r="AB13" i="120"/>
  <c r="BP14" i="120"/>
  <c r="AB14" i="120" s="1"/>
  <c r="AB16" i="120"/>
  <c r="AB17" i="120"/>
  <c r="AB18" i="120"/>
  <c r="AB19" i="120"/>
  <c r="AB20" i="120"/>
  <c r="AB118" i="120"/>
  <c r="AB21" i="120" s="1"/>
  <c r="AB23" i="120"/>
  <c r="AB24" i="120"/>
  <c r="AB25" i="120"/>
  <c r="AB26" i="120"/>
  <c r="AB27" i="120"/>
  <c r="AB28" i="120"/>
  <c r="AB29" i="120"/>
  <c r="BP30" i="120"/>
  <c r="AB30" i="120"/>
  <c r="AB32" i="120"/>
  <c r="BP33" i="120"/>
  <c r="AB33" i="120"/>
  <c r="AB36" i="120"/>
  <c r="AB37" i="120"/>
  <c r="AB38" i="120"/>
  <c r="AB39" i="120"/>
  <c r="AB41" i="120"/>
  <c r="AB42" i="120"/>
  <c r="AB43" i="120"/>
  <c r="BP44" i="120"/>
  <c r="AB44" i="120"/>
  <c r="AB45" i="120"/>
  <c r="AB46" i="120"/>
  <c r="BP47" i="120"/>
  <c r="AB47" i="120" s="1"/>
  <c r="AB48" i="120"/>
  <c r="AB49" i="120"/>
  <c r="AB50" i="120"/>
  <c r="BP51" i="120"/>
  <c r="AB51" i="120" s="1"/>
  <c r="BP52" i="120"/>
  <c r="AB52" i="120"/>
  <c r="BP53" i="120"/>
  <c r="AB53" i="120"/>
  <c r="BP54" i="120"/>
  <c r="AB54" i="120"/>
  <c r="AB56" i="120"/>
  <c r="AB57" i="120"/>
  <c r="AB58" i="120"/>
  <c r="AB59" i="120"/>
  <c r="AB60" i="120"/>
  <c r="AB61" i="120"/>
  <c r="AB62" i="120"/>
  <c r="AB63" i="120"/>
  <c r="BP66" i="120"/>
  <c r="AB66" i="120"/>
  <c r="AB67" i="120"/>
  <c r="AB69" i="120"/>
  <c r="AB70" i="120"/>
  <c r="AB71" i="120" s="1"/>
  <c r="AB73" i="120"/>
  <c r="AB74" i="120"/>
  <c r="AB75" i="120"/>
  <c r="AB76" i="120"/>
  <c r="AB77" i="120"/>
  <c r="AB78" i="120"/>
  <c r="AB87" i="120"/>
  <c r="AB89" i="120"/>
  <c r="AB90" i="120"/>
  <c r="AB91" i="120"/>
  <c r="AB92" i="120"/>
  <c r="BX31" i="120"/>
  <c r="AC31" i="120"/>
  <c r="AC39" i="120"/>
  <c r="AC65" i="120"/>
  <c r="BX82" i="120"/>
  <c r="AC85" i="120"/>
  <c r="AC84" i="120"/>
  <c r="AC83" i="120"/>
  <c r="AC7" i="120"/>
  <c r="AC8" i="120"/>
  <c r="AC9" i="120"/>
  <c r="AC10" i="120"/>
  <c r="AC11" i="120"/>
  <c r="AC12" i="120"/>
  <c r="AC13" i="120"/>
  <c r="BX14" i="120"/>
  <c r="AC14" i="120"/>
  <c r="AC16" i="120"/>
  <c r="AC17" i="120"/>
  <c r="AC18" i="120"/>
  <c r="AC19" i="120"/>
  <c r="AC20" i="120"/>
  <c r="AC21" i="120" s="1"/>
  <c r="AC118" i="120"/>
  <c r="AC23" i="120"/>
  <c r="AC24" i="120"/>
  <c r="AC25" i="120"/>
  <c r="AC26" i="120"/>
  <c r="AC27" i="120"/>
  <c r="AC28" i="120"/>
  <c r="AC29" i="120"/>
  <c r="BX30" i="120"/>
  <c r="AC30" i="120" s="1"/>
  <c r="AC32" i="120"/>
  <c r="BX33" i="120"/>
  <c r="AC33" i="120" s="1"/>
  <c r="AC36" i="120"/>
  <c r="AC37" i="120"/>
  <c r="AC38" i="120"/>
  <c r="AC41" i="120"/>
  <c r="AC42" i="120"/>
  <c r="AC43" i="120"/>
  <c r="BX44" i="120"/>
  <c r="AC44" i="120"/>
  <c r="AC45" i="120"/>
  <c r="AC46" i="120"/>
  <c r="BX47" i="120"/>
  <c r="AC47" i="120" s="1"/>
  <c r="AC48" i="120"/>
  <c r="AC49" i="120"/>
  <c r="AC50" i="120"/>
  <c r="BX51" i="120"/>
  <c r="AC51" i="120" s="1"/>
  <c r="BX52" i="120"/>
  <c r="AC52" i="120"/>
  <c r="BX53" i="120"/>
  <c r="AC53" i="120"/>
  <c r="BX54" i="120"/>
  <c r="AC54" i="120" s="1"/>
  <c r="AC56" i="120"/>
  <c r="AC57" i="120"/>
  <c r="AC58" i="120"/>
  <c r="AC59" i="120"/>
  <c r="AC60" i="120"/>
  <c r="AC61" i="120"/>
  <c r="AC62" i="120"/>
  <c r="AC63" i="120"/>
  <c r="BX66" i="120"/>
  <c r="AC66" i="120" s="1"/>
  <c r="AC67" i="120"/>
  <c r="AC69" i="120"/>
  <c r="AC70" i="120"/>
  <c r="AC71" i="120" s="1"/>
  <c r="AC73" i="120"/>
  <c r="AC74" i="120"/>
  <c r="AC75" i="120"/>
  <c r="AC76" i="120"/>
  <c r="AC77" i="120"/>
  <c r="AC78" i="120"/>
  <c r="AC87" i="120"/>
  <c r="AC89" i="120"/>
  <c r="AC90" i="120"/>
  <c r="AC91" i="120"/>
  <c r="AC92" i="120"/>
  <c r="BU31" i="120"/>
  <c r="AD31" i="120"/>
  <c r="AD39" i="120"/>
  <c r="AD65" i="120"/>
  <c r="BU82" i="120"/>
  <c r="AD85" i="120"/>
  <c r="AD7" i="120"/>
  <c r="AD8" i="120"/>
  <c r="AD9" i="120"/>
  <c r="AD10" i="120"/>
  <c r="AD11" i="120"/>
  <c r="AD12" i="120"/>
  <c r="AD13" i="120"/>
  <c r="BU14" i="120"/>
  <c r="AD14" i="120"/>
  <c r="AD16" i="120"/>
  <c r="AD17" i="120"/>
  <c r="AD18" i="120"/>
  <c r="AD19" i="120"/>
  <c r="AD20" i="120"/>
  <c r="AD118" i="120"/>
  <c r="AD21" i="120"/>
  <c r="AD23" i="120"/>
  <c r="AD24" i="120"/>
  <c r="AD25" i="120"/>
  <c r="AD26" i="120"/>
  <c r="AD27" i="120"/>
  <c r="AD28" i="120"/>
  <c r="AD29" i="120"/>
  <c r="BU30" i="120"/>
  <c r="AD30" i="120" s="1"/>
  <c r="AD32" i="120"/>
  <c r="BU33" i="120"/>
  <c r="AD33" i="120"/>
  <c r="AD36" i="120"/>
  <c r="AD37" i="120"/>
  <c r="AD38" i="120"/>
  <c r="AD41" i="120"/>
  <c r="AD42" i="120"/>
  <c r="AD43" i="120"/>
  <c r="BU44" i="120"/>
  <c r="AD44" i="120"/>
  <c r="AD45" i="120"/>
  <c r="AD46" i="120"/>
  <c r="BU47" i="120"/>
  <c r="AD47" i="120" s="1"/>
  <c r="AD48" i="120"/>
  <c r="AD49" i="120"/>
  <c r="AD50" i="120"/>
  <c r="BU51" i="120"/>
  <c r="AD51" i="120" s="1"/>
  <c r="BU52" i="120"/>
  <c r="AD52" i="120" s="1"/>
  <c r="BU54" i="120"/>
  <c r="AD54" i="120"/>
  <c r="AD56" i="120"/>
  <c r="AD57" i="120"/>
  <c r="AD58" i="120"/>
  <c r="AD59" i="120"/>
  <c r="AD60" i="120"/>
  <c r="AD61" i="120"/>
  <c r="AD62" i="120"/>
  <c r="AD63" i="120"/>
  <c r="BU66" i="120"/>
  <c r="AD66" i="120"/>
  <c r="AD67" i="120"/>
  <c r="AD69" i="120"/>
  <c r="AD70" i="120"/>
  <c r="AD71" i="120" s="1"/>
  <c r="AD73" i="120"/>
  <c r="AD74" i="120"/>
  <c r="AD75" i="120"/>
  <c r="AD76" i="120"/>
  <c r="AD77" i="120"/>
  <c r="AD78" i="120"/>
  <c r="AD83" i="120"/>
  <c r="AD84" i="120"/>
  <c r="AD87" i="120"/>
  <c r="AD89" i="120"/>
  <c r="AD90" i="120"/>
  <c r="AD91" i="120"/>
  <c r="AD92" i="120"/>
  <c r="BS31" i="120"/>
  <c r="AE31" i="120" s="1"/>
  <c r="BT31" i="120"/>
  <c r="AE23" i="120"/>
  <c r="AE39" i="120"/>
  <c r="AE65" i="120"/>
  <c r="BS82" i="120"/>
  <c r="BT82" i="120"/>
  <c r="AE7" i="120"/>
  <c r="AE8" i="120"/>
  <c r="AE9" i="120"/>
  <c r="AE10" i="120"/>
  <c r="AE11" i="120"/>
  <c r="AE12" i="120"/>
  <c r="AE13" i="120"/>
  <c r="AE14" i="120" s="1"/>
  <c r="AE16" i="120"/>
  <c r="AE17" i="120" s="1"/>
  <c r="AE18" i="120"/>
  <c r="AE19" i="120"/>
  <c r="AE20" i="120"/>
  <c r="AE118" i="120"/>
  <c r="AE21" i="120" s="1"/>
  <c r="AE24" i="120"/>
  <c r="AE25" i="120"/>
  <c r="AE26" i="120"/>
  <c r="AE27" i="120"/>
  <c r="AE28" i="120"/>
  <c r="AE29" i="120"/>
  <c r="AE30" i="120"/>
  <c r="AE32" i="120"/>
  <c r="AE33" i="120"/>
  <c r="AE36" i="120"/>
  <c r="AE37" i="120"/>
  <c r="AE38" i="120"/>
  <c r="AE41" i="120"/>
  <c r="AE42" i="120"/>
  <c r="AE54" i="120" s="1"/>
  <c r="AE43" i="120"/>
  <c r="BS44" i="120"/>
  <c r="BT44" i="120"/>
  <c r="AE44" i="120" s="1"/>
  <c r="AE45" i="120"/>
  <c r="AE46" i="120"/>
  <c r="BS47" i="120"/>
  <c r="BT47" i="120"/>
  <c r="AE47" i="120" s="1"/>
  <c r="AE48" i="120"/>
  <c r="AE49" i="120"/>
  <c r="AE50" i="120"/>
  <c r="AE95" i="120"/>
  <c r="AE51" i="120" s="1"/>
  <c r="BS52" i="120"/>
  <c r="AE52" i="120" s="1"/>
  <c r="AE53" i="120" s="1"/>
  <c r="BT52" i="120"/>
  <c r="AE98" i="120"/>
  <c r="AE97" i="120"/>
  <c r="AE56" i="120"/>
  <c r="AE57" i="120"/>
  <c r="AE58" i="120"/>
  <c r="AE59" i="120"/>
  <c r="AE60" i="120"/>
  <c r="AE61" i="120"/>
  <c r="AE62" i="120"/>
  <c r="AE63" i="120"/>
  <c r="AE67" i="120"/>
  <c r="AE69" i="120"/>
  <c r="AE70" i="120"/>
  <c r="AE71" i="120"/>
  <c r="AE73" i="120"/>
  <c r="AE74" i="120"/>
  <c r="AE75" i="120"/>
  <c r="AE76" i="120"/>
  <c r="AE77" i="120"/>
  <c r="AE78" i="120"/>
  <c r="AE87" i="120"/>
  <c r="AE89" i="120"/>
  <c r="AE90" i="120"/>
  <c r="AE91" i="120"/>
  <c r="AE92" i="120"/>
  <c r="CA31" i="120"/>
  <c r="AF31" i="120" s="1"/>
  <c r="AF39" i="120"/>
  <c r="AF65" i="120"/>
  <c r="CA82" i="120"/>
  <c r="AF85" i="120"/>
  <c r="AF7" i="120"/>
  <c r="AF8" i="120"/>
  <c r="AF9" i="120"/>
  <c r="AF10" i="120"/>
  <c r="AF11" i="120"/>
  <c r="AF12" i="120"/>
  <c r="AF13" i="120"/>
  <c r="CA14" i="120"/>
  <c r="AF14" i="120"/>
  <c r="AF16" i="120"/>
  <c r="AF17" i="120"/>
  <c r="AF18" i="120"/>
  <c r="AF19" i="120"/>
  <c r="AF20" i="120"/>
  <c r="AF118" i="120"/>
  <c r="AF21" i="120" s="1"/>
  <c r="AF23" i="120"/>
  <c r="AF24" i="120"/>
  <c r="AF25" i="120"/>
  <c r="AF26" i="120"/>
  <c r="AF27" i="120"/>
  <c r="AF28" i="120"/>
  <c r="AF29" i="120"/>
  <c r="CA30" i="120"/>
  <c r="AF30" i="120" s="1"/>
  <c r="AF32" i="120"/>
  <c r="CA33" i="120"/>
  <c r="AF33" i="120" s="1"/>
  <c r="AF36" i="120"/>
  <c r="AF37" i="120"/>
  <c r="AF38" i="120"/>
  <c r="AF41" i="120"/>
  <c r="AF42" i="120"/>
  <c r="AF43" i="120"/>
  <c r="CA44" i="120"/>
  <c r="AF44" i="120" s="1"/>
  <c r="AF45" i="120"/>
  <c r="AF46" i="120"/>
  <c r="CA47" i="120"/>
  <c r="AF47" i="120" s="1"/>
  <c r="AF48" i="120"/>
  <c r="AF49" i="120"/>
  <c r="AF50" i="120"/>
  <c r="CA51" i="120"/>
  <c r="AF51" i="120" s="1"/>
  <c r="CA52" i="120"/>
  <c r="AF52" i="120"/>
  <c r="CA53" i="120"/>
  <c r="AF53" i="120"/>
  <c r="CA54" i="120"/>
  <c r="AF54" i="120" s="1"/>
  <c r="AF56" i="120"/>
  <c r="AF57" i="120"/>
  <c r="AF58" i="120"/>
  <c r="AF59" i="120"/>
  <c r="AF60" i="120"/>
  <c r="AF61" i="120"/>
  <c r="AF62" i="120"/>
  <c r="AF63" i="120"/>
  <c r="CA66" i="120"/>
  <c r="AF66" i="120" s="1"/>
  <c r="AF67" i="120"/>
  <c r="AF69" i="120"/>
  <c r="AF70" i="120"/>
  <c r="AF71" i="120" s="1"/>
  <c r="AF73" i="120"/>
  <c r="AF74" i="120"/>
  <c r="AF75" i="120"/>
  <c r="AF76" i="120"/>
  <c r="AF77" i="120"/>
  <c r="AF78" i="120"/>
  <c r="AF83" i="120"/>
  <c r="AF84" i="120"/>
  <c r="AF87" i="120"/>
  <c r="AF89" i="120"/>
  <c r="AF90" i="120"/>
  <c r="AF91" i="120"/>
  <c r="AF92" i="120"/>
  <c r="BV31" i="120"/>
  <c r="AG31" i="120" s="1"/>
  <c r="AG39" i="120"/>
  <c r="AG65" i="120"/>
  <c r="BV82" i="120"/>
  <c r="AG85" i="120"/>
  <c r="AG83" i="120"/>
  <c r="AG7" i="120"/>
  <c r="AG8" i="120"/>
  <c r="AG9" i="120"/>
  <c r="AG10" i="120"/>
  <c r="AG11" i="120"/>
  <c r="AG12" i="120"/>
  <c r="AG13" i="120"/>
  <c r="BV14" i="120"/>
  <c r="AG14" i="120" s="1"/>
  <c r="AG16" i="120"/>
  <c r="AG17" i="120"/>
  <c r="AG18" i="120"/>
  <c r="AG19" i="120"/>
  <c r="AG20" i="120"/>
  <c r="AG118" i="120"/>
  <c r="AG21" i="120"/>
  <c r="AG23" i="120"/>
  <c r="AG24" i="120"/>
  <c r="AG25" i="120"/>
  <c r="AG26" i="120"/>
  <c r="AG27" i="120"/>
  <c r="AG28" i="120"/>
  <c r="AG29" i="120"/>
  <c r="BV30" i="120"/>
  <c r="AG30" i="120" s="1"/>
  <c r="AG32" i="120"/>
  <c r="BV33" i="120"/>
  <c r="AG33" i="120"/>
  <c r="AG36" i="120"/>
  <c r="AG37" i="120"/>
  <c r="AG38" i="120"/>
  <c r="AG41" i="120"/>
  <c r="AG42" i="120"/>
  <c r="AG43" i="120"/>
  <c r="BV44" i="120"/>
  <c r="AG44" i="120"/>
  <c r="AG45" i="120"/>
  <c r="AG46" i="120"/>
  <c r="BV47" i="120"/>
  <c r="AG47" i="120" s="1"/>
  <c r="AG48" i="120"/>
  <c r="AG49" i="120"/>
  <c r="AG50" i="120"/>
  <c r="BV51" i="120"/>
  <c r="AG51" i="120" s="1"/>
  <c r="BV52" i="120"/>
  <c r="AG52" i="120" s="1"/>
  <c r="BV53" i="120"/>
  <c r="AG53" i="120" s="1"/>
  <c r="BV54" i="120"/>
  <c r="AG54" i="120"/>
  <c r="AG56" i="120"/>
  <c r="AG57" i="120"/>
  <c r="AG58" i="120"/>
  <c r="AG59" i="120"/>
  <c r="AG60" i="120"/>
  <c r="AG61" i="120"/>
  <c r="AG62" i="120"/>
  <c r="AG63" i="120"/>
  <c r="BV66" i="120"/>
  <c r="AG66" i="120"/>
  <c r="AG67" i="120"/>
  <c r="AG69" i="120"/>
  <c r="AG70" i="120"/>
  <c r="AG71" i="120" s="1"/>
  <c r="AG73" i="120"/>
  <c r="AG74" i="120"/>
  <c r="AG75" i="120"/>
  <c r="AG76" i="120"/>
  <c r="AG77" i="120"/>
  <c r="AG78" i="120"/>
  <c r="AG84" i="120"/>
  <c r="AG87" i="120"/>
  <c r="AG89" i="120"/>
  <c r="AG90" i="120"/>
  <c r="AG91" i="120"/>
  <c r="AG92" i="120"/>
  <c r="BZ31" i="120"/>
  <c r="AH31" i="120" s="1"/>
  <c r="AH39" i="120"/>
  <c r="AH65" i="120"/>
  <c r="BZ82" i="120"/>
  <c r="AH84" i="120"/>
  <c r="AH83" i="120"/>
  <c r="AH7" i="120"/>
  <c r="AH8" i="120"/>
  <c r="AH9" i="120"/>
  <c r="AH10" i="120"/>
  <c r="AH11" i="120"/>
  <c r="AH12" i="120"/>
  <c r="AH13" i="120"/>
  <c r="BZ14" i="120"/>
  <c r="AH14" i="120" s="1"/>
  <c r="AH16" i="120"/>
  <c r="AH17" i="120"/>
  <c r="AH18" i="120"/>
  <c r="AH19" i="120"/>
  <c r="AH20" i="120"/>
  <c r="AH118" i="120"/>
  <c r="AH21" i="120"/>
  <c r="AH23" i="120"/>
  <c r="AH24" i="120"/>
  <c r="AH25" i="120"/>
  <c r="AH26" i="120"/>
  <c r="AH27" i="120"/>
  <c r="AH28" i="120"/>
  <c r="AH29" i="120"/>
  <c r="BZ30" i="120"/>
  <c r="AH30" i="120" s="1"/>
  <c r="AH32" i="120"/>
  <c r="BZ33" i="120"/>
  <c r="AH33" i="120"/>
  <c r="AH36" i="120"/>
  <c r="AH37" i="120"/>
  <c r="AH38" i="120"/>
  <c r="AH41" i="120"/>
  <c r="AH42" i="120"/>
  <c r="AH43" i="120"/>
  <c r="BZ44" i="120"/>
  <c r="AH44" i="120"/>
  <c r="AH45" i="120"/>
  <c r="AH46" i="120"/>
  <c r="BZ47" i="120"/>
  <c r="AH47" i="120"/>
  <c r="AH48" i="120"/>
  <c r="AH49" i="120"/>
  <c r="AH50" i="120"/>
  <c r="BZ51" i="120"/>
  <c r="AH51" i="120" s="1"/>
  <c r="BZ52" i="120"/>
  <c r="AH52" i="120" s="1"/>
  <c r="BZ53" i="120"/>
  <c r="AH53" i="120" s="1"/>
  <c r="BZ54" i="120"/>
  <c r="AH54" i="120"/>
  <c r="AH56" i="120"/>
  <c r="AH57" i="120"/>
  <c r="AH58" i="120"/>
  <c r="AH59" i="120"/>
  <c r="AH60" i="120"/>
  <c r="AH61" i="120"/>
  <c r="AH62" i="120"/>
  <c r="AH63" i="120"/>
  <c r="BZ66" i="120"/>
  <c r="AH66" i="120"/>
  <c r="AH67" i="120"/>
  <c r="AH69" i="120"/>
  <c r="AH70" i="120"/>
  <c r="AH71" i="120" s="1"/>
  <c r="AH73" i="120"/>
  <c r="AH74" i="120"/>
  <c r="AH75" i="120"/>
  <c r="AH76" i="120"/>
  <c r="AH77" i="120"/>
  <c r="AH78" i="120"/>
  <c r="AH85" i="120"/>
  <c r="AH87" i="120"/>
  <c r="AH89" i="120"/>
  <c r="AH90" i="120"/>
  <c r="AH91" i="120"/>
  <c r="AH92" i="120"/>
  <c r="BW31" i="120"/>
  <c r="AI31" i="120" s="1"/>
  <c r="AI39" i="120"/>
  <c r="AI65" i="120"/>
  <c r="BW82" i="120"/>
  <c r="AI83" i="120"/>
  <c r="AI85" i="120"/>
  <c r="AI7" i="120"/>
  <c r="AI8" i="120"/>
  <c r="AI9" i="120"/>
  <c r="AI10" i="120"/>
  <c r="AI11" i="120"/>
  <c r="AI12" i="120"/>
  <c r="AI13" i="120"/>
  <c r="BW14" i="120"/>
  <c r="AI14" i="120" s="1"/>
  <c r="AI16" i="120"/>
  <c r="AI17" i="120"/>
  <c r="AI18" i="120"/>
  <c r="AI19" i="120"/>
  <c r="AI20" i="120"/>
  <c r="AI118" i="120"/>
  <c r="AI21" i="120"/>
  <c r="AI23" i="120"/>
  <c r="AI24" i="120"/>
  <c r="AI25" i="120"/>
  <c r="AI26" i="120"/>
  <c r="AI27" i="120"/>
  <c r="AI28" i="120"/>
  <c r="AI29" i="120"/>
  <c r="BW30" i="120"/>
  <c r="AI30" i="120" s="1"/>
  <c r="AI32" i="120"/>
  <c r="BW33" i="120"/>
  <c r="AI33" i="120"/>
  <c r="AI36" i="120"/>
  <c r="AI37" i="120"/>
  <c r="AI38" i="120"/>
  <c r="AI41" i="120"/>
  <c r="AI42" i="120"/>
  <c r="AI43" i="120"/>
  <c r="BW44" i="120"/>
  <c r="AI44" i="120"/>
  <c r="AI45" i="120"/>
  <c r="AI46" i="120"/>
  <c r="BW47" i="120"/>
  <c r="AI47" i="120"/>
  <c r="AI48" i="120"/>
  <c r="AI49" i="120"/>
  <c r="AI50" i="120"/>
  <c r="BW51" i="120"/>
  <c r="AI51" i="120"/>
  <c r="BW52" i="120"/>
  <c r="AI52" i="120" s="1"/>
  <c r="BW53" i="120"/>
  <c r="AI53" i="120" s="1"/>
  <c r="BW54" i="120"/>
  <c r="AI54" i="120"/>
  <c r="AI56" i="120"/>
  <c r="AI57" i="120"/>
  <c r="AI58" i="120"/>
  <c r="AI59" i="120"/>
  <c r="AI60" i="120"/>
  <c r="AI61" i="120"/>
  <c r="AI62" i="120"/>
  <c r="AI63" i="120"/>
  <c r="BW66" i="120"/>
  <c r="AI66" i="120"/>
  <c r="AI67" i="120"/>
  <c r="AI69" i="120"/>
  <c r="AI71" i="120" s="1"/>
  <c r="AI70" i="120"/>
  <c r="AI73" i="120"/>
  <c r="AI74" i="120"/>
  <c r="AI75" i="120"/>
  <c r="AI76" i="120"/>
  <c r="AI77" i="120"/>
  <c r="AI78" i="120"/>
  <c r="AI84" i="120"/>
  <c r="AI87" i="120"/>
  <c r="AI89" i="120"/>
  <c r="AI90" i="120"/>
  <c r="AI91" i="120"/>
  <c r="AI92" i="120"/>
  <c r="BY31" i="120"/>
  <c r="AJ31" i="120" s="1"/>
  <c r="AJ65" i="120"/>
  <c r="BY82" i="120"/>
  <c r="AJ83" i="120"/>
  <c r="AJ84" i="120"/>
  <c r="AJ85" i="120"/>
  <c r="AJ7" i="120"/>
  <c r="AJ8" i="120"/>
  <c r="AJ9" i="120"/>
  <c r="AJ10" i="120"/>
  <c r="AJ11" i="120"/>
  <c r="AJ12" i="120"/>
  <c r="AJ13" i="120"/>
  <c r="BY14" i="120"/>
  <c r="AJ14" i="120" s="1"/>
  <c r="AJ16" i="120"/>
  <c r="AJ17" i="120"/>
  <c r="AJ18" i="120"/>
  <c r="AJ19" i="120"/>
  <c r="AJ20" i="120"/>
  <c r="AJ118" i="120"/>
  <c r="AJ21" i="120"/>
  <c r="AJ23" i="120"/>
  <c r="AJ24" i="120"/>
  <c r="AJ25" i="120"/>
  <c r="AJ26" i="120"/>
  <c r="AJ27" i="120"/>
  <c r="AJ28" i="120"/>
  <c r="AJ29" i="120"/>
  <c r="BY30" i="120"/>
  <c r="AJ30" i="120"/>
  <c r="AJ32" i="120"/>
  <c r="BY33" i="120"/>
  <c r="AJ33" i="120"/>
  <c r="AJ36" i="120"/>
  <c r="AJ37" i="120"/>
  <c r="AJ38" i="120"/>
  <c r="AJ39" i="120"/>
  <c r="AJ41" i="120"/>
  <c r="AJ42" i="120"/>
  <c r="AJ43" i="120"/>
  <c r="BY44" i="120"/>
  <c r="AJ44" i="120" s="1"/>
  <c r="AJ45" i="120"/>
  <c r="AJ46" i="120"/>
  <c r="BY47" i="120"/>
  <c r="AJ47" i="120"/>
  <c r="AJ48" i="120"/>
  <c r="AJ49" i="120"/>
  <c r="AJ50" i="120"/>
  <c r="BY51" i="120"/>
  <c r="AJ51" i="120"/>
  <c r="BY52" i="120"/>
  <c r="BY53" i="120" s="1"/>
  <c r="AJ52" i="120"/>
  <c r="BY54" i="120"/>
  <c r="AJ54" i="120" s="1"/>
  <c r="AJ56" i="120"/>
  <c r="AJ57" i="120"/>
  <c r="AJ58" i="120"/>
  <c r="AJ59" i="120"/>
  <c r="AJ60" i="120"/>
  <c r="AJ61" i="120"/>
  <c r="AJ62" i="120"/>
  <c r="AJ63" i="120"/>
  <c r="BY66" i="120"/>
  <c r="AJ66" i="120" s="1"/>
  <c r="AJ67" i="120"/>
  <c r="AJ69" i="120"/>
  <c r="AJ70" i="120"/>
  <c r="AJ71" i="120"/>
  <c r="AJ73" i="120"/>
  <c r="AJ74" i="120"/>
  <c r="AJ75" i="120"/>
  <c r="AJ76" i="120"/>
  <c r="AJ77" i="120"/>
  <c r="AJ78" i="120"/>
  <c r="AJ87" i="120"/>
  <c r="AJ89" i="120"/>
  <c r="AJ90" i="120"/>
  <c r="AJ91" i="120"/>
  <c r="AJ92" i="120"/>
  <c r="CB31" i="120"/>
  <c r="AK31" i="120"/>
  <c r="AK39" i="120"/>
  <c r="AK65" i="120"/>
  <c r="CB82" i="120"/>
  <c r="AK85" i="120"/>
  <c r="AK84" i="120"/>
  <c r="AK83" i="120"/>
  <c r="AK7" i="120"/>
  <c r="AK8" i="120"/>
  <c r="AK9" i="120"/>
  <c r="AK10" i="120"/>
  <c r="AK11" i="120"/>
  <c r="AK12" i="120"/>
  <c r="AK13" i="120"/>
  <c r="CB14" i="120"/>
  <c r="AK14" i="120"/>
  <c r="AK16" i="120"/>
  <c r="AK17" i="120"/>
  <c r="AK18" i="120"/>
  <c r="AK19" i="120"/>
  <c r="AK20" i="120"/>
  <c r="AK118" i="120"/>
  <c r="AK21" i="120" s="1"/>
  <c r="AK23" i="120"/>
  <c r="AK24" i="120"/>
  <c r="AK25" i="120"/>
  <c r="AK26" i="120"/>
  <c r="AK27" i="120"/>
  <c r="AK28" i="120"/>
  <c r="AK29" i="120"/>
  <c r="CB30" i="120"/>
  <c r="AK30" i="120"/>
  <c r="AK32" i="120"/>
  <c r="CB33" i="120"/>
  <c r="AK33" i="120" s="1"/>
  <c r="AK36" i="120"/>
  <c r="AK37" i="120"/>
  <c r="AK38" i="120"/>
  <c r="AK41" i="120"/>
  <c r="AK42" i="120"/>
  <c r="AK43" i="120"/>
  <c r="CB44" i="120"/>
  <c r="AK44" i="120" s="1"/>
  <c r="AK45" i="120"/>
  <c r="AK46" i="120"/>
  <c r="CB47" i="120"/>
  <c r="AK47" i="120"/>
  <c r="AK48" i="120"/>
  <c r="AK49" i="120"/>
  <c r="AK50" i="120"/>
  <c r="CB51" i="120"/>
  <c r="AK51" i="120"/>
  <c r="CB52" i="120"/>
  <c r="CB53" i="120" s="1"/>
  <c r="AK53" i="120" s="1"/>
  <c r="AK52" i="120"/>
  <c r="CB54" i="120"/>
  <c r="AK54" i="120" s="1"/>
  <c r="AK56" i="120"/>
  <c r="AK57" i="120"/>
  <c r="AK58" i="120"/>
  <c r="AK59" i="120"/>
  <c r="AK60" i="120"/>
  <c r="AK61" i="120"/>
  <c r="AK62" i="120"/>
  <c r="AK63" i="120"/>
  <c r="CB66" i="120"/>
  <c r="AK66" i="120" s="1"/>
  <c r="AK67" i="120"/>
  <c r="AK69" i="120"/>
  <c r="AK70" i="120"/>
  <c r="AK71" i="120"/>
  <c r="AK73" i="120"/>
  <c r="AK74" i="120"/>
  <c r="AK75" i="120"/>
  <c r="AK76" i="120"/>
  <c r="AK77" i="120"/>
  <c r="AK78" i="120"/>
  <c r="AK87" i="120"/>
  <c r="AK89" i="120"/>
  <c r="AK90" i="120"/>
  <c r="AK91" i="120"/>
  <c r="AK92" i="120"/>
  <c r="CE31" i="120"/>
  <c r="AL31" i="120" s="1"/>
  <c r="AL39" i="120"/>
  <c r="AL65" i="120"/>
  <c r="CE82" i="120"/>
  <c r="AL83" i="120"/>
  <c r="AL84" i="120"/>
  <c r="AL85" i="120"/>
  <c r="AL7" i="120"/>
  <c r="AL8" i="120"/>
  <c r="AL9" i="120"/>
  <c r="AL10" i="120"/>
  <c r="AL11" i="120"/>
  <c r="AL12" i="120"/>
  <c r="AL13" i="120"/>
  <c r="CE14" i="120"/>
  <c r="AL14" i="120" s="1"/>
  <c r="AL16" i="120"/>
  <c r="AL17" i="120"/>
  <c r="AL18" i="120"/>
  <c r="AL19" i="120"/>
  <c r="AL20" i="120"/>
  <c r="AL118" i="120"/>
  <c r="AL21" i="120" s="1"/>
  <c r="AL23" i="120"/>
  <c r="AL24" i="120"/>
  <c r="AL25" i="120"/>
  <c r="AL26" i="120"/>
  <c r="AL27" i="120"/>
  <c r="AL28" i="120"/>
  <c r="AL29" i="120"/>
  <c r="CE30" i="120"/>
  <c r="AL30" i="120"/>
  <c r="AL32" i="120"/>
  <c r="CE33" i="120"/>
  <c r="AL33" i="120" s="1"/>
  <c r="AL36" i="120"/>
  <c r="AL37" i="120"/>
  <c r="AL38" i="120"/>
  <c r="AL41" i="120"/>
  <c r="AL42" i="120"/>
  <c r="AL43" i="120"/>
  <c r="CE44" i="120"/>
  <c r="AL44" i="120" s="1"/>
  <c r="AL45" i="120"/>
  <c r="AL46" i="120"/>
  <c r="CE47" i="120"/>
  <c r="AL47" i="120"/>
  <c r="AL48" i="120"/>
  <c r="AL49" i="120"/>
  <c r="AL50" i="120"/>
  <c r="CE51" i="120"/>
  <c r="AL51" i="120"/>
  <c r="CE52" i="120"/>
  <c r="CE53" i="120" s="1"/>
  <c r="AL53" i="120" s="1"/>
  <c r="AL52" i="120"/>
  <c r="CE54" i="120"/>
  <c r="AL54" i="120" s="1"/>
  <c r="AL56" i="120"/>
  <c r="AL57" i="120"/>
  <c r="AL58" i="120"/>
  <c r="AL59" i="120"/>
  <c r="AL60" i="120"/>
  <c r="AL61" i="120"/>
  <c r="AL62" i="120"/>
  <c r="AL63" i="120"/>
  <c r="CE66" i="120"/>
  <c r="AL66" i="120" s="1"/>
  <c r="AL67" i="120"/>
  <c r="AL69" i="120"/>
  <c r="AL70" i="120"/>
  <c r="AL71" i="120"/>
  <c r="AL73" i="120"/>
  <c r="AL74" i="120"/>
  <c r="AL75" i="120"/>
  <c r="AL76" i="120"/>
  <c r="AL77" i="120"/>
  <c r="AL78" i="120"/>
  <c r="AL87" i="120"/>
  <c r="AL89" i="120"/>
  <c r="AL90" i="120"/>
  <c r="AL91" i="120"/>
  <c r="AL92" i="120"/>
  <c r="CH31" i="120"/>
  <c r="AM31" i="120"/>
  <c r="AM39" i="120"/>
  <c r="AM65" i="120"/>
  <c r="CH82" i="120"/>
  <c r="AM83" i="120"/>
  <c r="AM84" i="120"/>
  <c r="AM85" i="120"/>
  <c r="AM7" i="120"/>
  <c r="AM8" i="120"/>
  <c r="AM9" i="120"/>
  <c r="AM10" i="120"/>
  <c r="AM11" i="120"/>
  <c r="AM12" i="120"/>
  <c r="AM13" i="120"/>
  <c r="CH14" i="120"/>
  <c r="AM14" i="120" s="1"/>
  <c r="AM16" i="120"/>
  <c r="AM17" i="120"/>
  <c r="AM18" i="120"/>
  <c r="AM19" i="120"/>
  <c r="AM20" i="120"/>
  <c r="AM118" i="120"/>
  <c r="AM21" i="120" s="1"/>
  <c r="AM23" i="120"/>
  <c r="AM24" i="120"/>
  <c r="AM25" i="120"/>
  <c r="AM26" i="120"/>
  <c r="AM27" i="120"/>
  <c r="AM28" i="120"/>
  <c r="AM29" i="120"/>
  <c r="CH30" i="120"/>
  <c r="AM30" i="120"/>
  <c r="AM32" i="120"/>
  <c r="CH33" i="120"/>
  <c r="AM33" i="120" s="1"/>
  <c r="AM36" i="120"/>
  <c r="AM37" i="120"/>
  <c r="AM38" i="120"/>
  <c r="AM41" i="120"/>
  <c r="AM42" i="120"/>
  <c r="AM43" i="120"/>
  <c r="CH44" i="120"/>
  <c r="AM44" i="120" s="1"/>
  <c r="AM45" i="120"/>
  <c r="AM46" i="120"/>
  <c r="CH47" i="120"/>
  <c r="AM47" i="120"/>
  <c r="AM48" i="120"/>
  <c r="AM49" i="120"/>
  <c r="AM50" i="120"/>
  <c r="CH51" i="120"/>
  <c r="AM51" i="120"/>
  <c r="CH52" i="120"/>
  <c r="CH53" i="120" s="1"/>
  <c r="AM53" i="120" s="1"/>
  <c r="AM52" i="120"/>
  <c r="CH54" i="120"/>
  <c r="AM54" i="120" s="1"/>
  <c r="AM56" i="120"/>
  <c r="AM57" i="120"/>
  <c r="AM58" i="120"/>
  <c r="AM59" i="120"/>
  <c r="AM60" i="120"/>
  <c r="AM61" i="120"/>
  <c r="AM62" i="120"/>
  <c r="AM63" i="120"/>
  <c r="AM66" i="120"/>
  <c r="AM67" i="120"/>
  <c r="AM69" i="120"/>
  <c r="AM71" i="120" s="1"/>
  <c r="AM70" i="120"/>
  <c r="AM73" i="120"/>
  <c r="AM74" i="120"/>
  <c r="AM75" i="120"/>
  <c r="AM76" i="120"/>
  <c r="AM77" i="120"/>
  <c r="AM78" i="120"/>
  <c r="AM87" i="120"/>
  <c r="AM89" i="120"/>
  <c r="AM90" i="120"/>
  <c r="AM91" i="120"/>
  <c r="AM92" i="120"/>
  <c r="CJ31" i="120"/>
  <c r="AN31" i="120" s="1"/>
  <c r="AN39" i="120"/>
  <c r="CJ82" i="120"/>
  <c r="AN83" i="120"/>
  <c r="AN84" i="120"/>
  <c r="AN85" i="120"/>
  <c r="AN7" i="120"/>
  <c r="AN8" i="120"/>
  <c r="AN9" i="120"/>
  <c r="AN10" i="120"/>
  <c r="AN11" i="120"/>
  <c r="AN12" i="120"/>
  <c r="AN13" i="120"/>
  <c r="CJ14" i="120"/>
  <c r="AN14" i="120"/>
  <c r="AN16" i="120"/>
  <c r="AN17" i="120"/>
  <c r="AN18" i="120"/>
  <c r="AN19" i="120"/>
  <c r="AN20" i="120"/>
  <c r="AN21" i="120" s="1"/>
  <c r="AN118" i="120"/>
  <c r="AN23" i="120"/>
  <c r="AN24" i="120"/>
  <c r="AN25" i="120"/>
  <c r="AN26" i="120"/>
  <c r="AN27" i="120"/>
  <c r="AN28" i="120"/>
  <c r="AN29" i="120"/>
  <c r="CJ30" i="120"/>
  <c r="AN30" i="120" s="1"/>
  <c r="AN32" i="120"/>
  <c r="CJ33" i="120"/>
  <c r="AN33" i="120" s="1"/>
  <c r="AN36" i="120"/>
  <c r="AN37" i="120"/>
  <c r="AN38" i="120"/>
  <c r="AN41" i="120"/>
  <c r="AN42" i="120"/>
  <c r="AN43" i="120"/>
  <c r="CJ44" i="120"/>
  <c r="AN44" i="120"/>
  <c r="AN45" i="120"/>
  <c r="AN46" i="120"/>
  <c r="CJ47" i="120"/>
  <c r="AN47" i="120" s="1"/>
  <c r="AN48" i="120"/>
  <c r="AN49" i="120"/>
  <c r="AN50" i="120"/>
  <c r="CJ51" i="120"/>
  <c r="AN51" i="120" s="1"/>
  <c r="CJ52" i="120"/>
  <c r="AN52" i="120"/>
  <c r="CJ53" i="120"/>
  <c r="AN53" i="120"/>
  <c r="CJ54" i="120"/>
  <c r="AN54" i="120" s="1"/>
  <c r="AN56" i="120"/>
  <c r="AN57" i="120"/>
  <c r="AN58" i="120"/>
  <c r="AN59" i="120"/>
  <c r="AN60" i="120"/>
  <c r="AN61" i="120"/>
  <c r="AN62" i="120"/>
  <c r="AN63" i="120"/>
  <c r="AN65" i="120"/>
  <c r="CJ66" i="120"/>
  <c r="AN66" i="120"/>
  <c r="AN67" i="120"/>
  <c r="AN69" i="120"/>
  <c r="AN70" i="120"/>
  <c r="AN71" i="120" s="1"/>
  <c r="AN73" i="120"/>
  <c r="AN74" i="120"/>
  <c r="AN75" i="120"/>
  <c r="AN76" i="120"/>
  <c r="AN77" i="120"/>
  <c r="AN78" i="120"/>
  <c r="AN87" i="120"/>
  <c r="AN89" i="120"/>
  <c r="AN90" i="120"/>
  <c r="AN91" i="120"/>
  <c r="AN92" i="120"/>
  <c r="CC31" i="120"/>
  <c r="AO31" i="120" s="1"/>
  <c r="AO39" i="120"/>
  <c r="AO65" i="120"/>
  <c r="CC82" i="120"/>
  <c r="AO83" i="120"/>
  <c r="AO84" i="120"/>
  <c r="AO85" i="120"/>
  <c r="AO7" i="120"/>
  <c r="AO8" i="120"/>
  <c r="AO9" i="120"/>
  <c r="AO10" i="120"/>
  <c r="AO11" i="120"/>
  <c r="AO12" i="120"/>
  <c r="AO13" i="120"/>
  <c r="CC14" i="120"/>
  <c r="AO14" i="120" s="1"/>
  <c r="AO16" i="120"/>
  <c r="AO17" i="120"/>
  <c r="AO18" i="120"/>
  <c r="AO19" i="120"/>
  <c r="AO20" i="120"/>
  <c r="AO118" i="120"/>
  <c r="AO21" i="120"/>
  <c r="AO23" i="120"/>
  <c r="AO24" i="120"/>
  <c r="AO25" i="120"/>
  <c r="AO26" i="120"/>
  <c r="AO27" i="120"/>
  <c r="AO28" i="120"/>
  <c r="AO29" i="120"/>
  <c r="CC30" i="120"/>
  <c r="AO30" i="120"/>
  <c r="AO32" i="120"/>
  <c r="CC33" i="120"/>
  <c r="AO33" i="120"/>
  <c r="AO36" i="120"/>
  <c r="AO37" i="120"/>
  <c r="AO38" i="120"/>
  <c r="AO41" i="120"/>
  <c r="AO42" i="120"/>
  <c r="AO43" i="120"/>
  <c r="CC44" i="120"/>
  <c r="AO44" i="120"/>
  <c r="AO45" i="120"/>
  <c r="AO46" i="120"/>
  <c r="CC47" i="120"/>
  <c r="AO47" i="120"/>
  <c r="AO48" i="120"/>
  <c r="AO49" i="120"/>
  <c r="AO50" i="120"/>
  <c r="CC51" i="120"/>
  <c r="AO51" i="120" s="1"/>
  <c r="CC52" i="120"/>
  <c r="AO52" i="120" s="1"/>
  <c r="CC53" i="120"/>
  <c r="AO53" i="120" s="1"/>
  <c r="CC54" i="120"/>
  <c r="AO54" i="120"/>
  <c r="AO56" i="120"/>
  <c r="AO57" i="120"/>
  <c r="AO58" i="120"/>
  <c r="AO59" i="120"/>
  <c r="AO60" i="120"/>
  <c r="AO61" i="120"/>
  <c r="AO62" i="120"/>
  <c r="AO63" i="120"/>
  <c r="CC66" i="120"/>
  <c r="AO66" i="120"/>
  <c r="AO67" i="120"/>
  <c r="AO69" i="120"/>
  <c r="AO71" i="120" s="1"/>
  <c r="AO70" i="120"/>
  <c r="AO73" i="120"/>
  <c r="AO74" i="120"/>
  <c r="AO75" i="120"/>
  <c r="AO76" i="120"/>
  <c r="AO77" i="120"/>
  <c r="AO78" i="120"/>
  <c r="AO87" i="120"/>
  <c r="AO89" i="120"/>
  <c r="AO90" i="120"/>
  <c r="AO91" i="120"/>
  <c r="AO92" i="120"/>
  <c r="CD31" i="120"/>
  <c r="AP31" i="120" s="1"/>
  <c r="AP39" i="120"/>
  <c r="AP65" i="120"/>
  <c r="CD82" i="120"/>
  <c r="AP7" i="120"/>
  <c r="AP8" i="120"/>
  <c r="AP9" i="120"/>
  <c r="AP10" i="120"/>
  <c r="AP11" i="120"/>
  <c r="AP12" i="120"/>
  <c r="AP13" i="120"/>
  <c r="CD14" i="120"/>
  <c r="AP14" i="120"/>
  <c r="AP16" i="120"/>
  <c r="AP17" i="120"/>
  <c r="AP18" i="120"/>
  <c r="AP19" i="120"/>
  <c r="AP20" i="120"/>
  <c r="AP118" i="120"/>
  <c r="AP21" i="120"/>
  <c r="AP23" i="120"/>
  <c r="AP24" i="120"/>
  <c r="AP25" i="120"/>
  <c r="AP26" i="120"/>
  <c r="AP27" i="120"/>
  <c r="AP28" i="120"/>
  <c r="AP29" i="120"/>
  <c r="CD30" i="120"/>
  <c r="AP30" i="120" s="1"/>
  <c r="AP32" i="120"/>
  <c r="CD33" i="120"/>
  <c r="AP33" i="120"/>
  <c r="AP36" i="120"/>
  <c r="AP37" i="120"/>
  <c r="AP38" i="120"/>
  <c r="AP41" i="120"/>
  <c r="AP42" i="120"/>
  <c r="AP43" i="120"/>
  <c r="CD44" i="120"/>
  <c r="AP44" i="120"/>
  <c r="AP45" i="120"/>
  <c r="AP46" i="120"/>
  <c r="CD47" i="120"/>
  <c r="AP47" i="120" s="1"/>
  <c r="AP48" i="120"/>
  <c r="AP49" i="120"/>
  <c r="AP50" i="120"/>
  <c r="CD51" i="120"/>
  <c r="AP51" i="120" s="1"/>
  <c r="CD52" i="120"/>
  <c r="AP52" i="120" s="1"/>
  <c r="CD54" i="120"/>
  <c r="AP54" i="120"/>
  <c r="AP56" i="120"/>
  <c r="AP57" i="120"/>
  <c r="AP58" i="120"/>
  <c r="AP59" i="120"/>
  <c r="AP60" i="120"/>
  <c r="AP61" i="120"/>
  <c r="AP62" i="120"/>
  <c r="AP63" i="120"/>
  <c r="CD66" i="120"/>
  <c r="AP66" i="120"/>
  <c r="AP67" i="120"/>
  <c r="AP69" i="120"/>
  <c r="AP70" i="120"/>
  <c r="AP71" i="120" s="1"/>
  <c r="AP73" i="120"/>
  <c r="AP74" i="120"/>
  <c r="AP75" i="120"/>
  <c r="AP76" i="120"/>
  <c r="AP77" i="120"/>
  <c r="AP78" i="120"/>
  <c r="AP83" i="120"/>
  <c r="AP84" i="120"/>
  <c r="AP85" i="120"/>
  <c r="AP87" i="120"/>
  <c r="AP89" i="120"/>
  <c r="AP90" i="120"/>
  <c r="AP91" i="120"/>
  <c r="AP92" i="120"/>
  <c r="CK31" i="120"/>
  <c r="AQ31" i="120" s="1"/>
  <c r="AQ39" i="120"/>
  <c r="AQ65" i="120"/>
  <c r="CK82" i="120"/>
  <c r="AQ85" i="120"/>
  <c r="AQ84" i="120"/>
  <c r="AQ83" i="120"/>
  <c r="AQ7" i="120"/>
  <c r="AQ8" i="120"/>
  <c r="AQ9" i="120"/>
  <c r="AQ10" i="120"/>
  <c r="AQ11" i="120"/>
  <c r="AQ12" i="120"/>
  <c r="AQ13" i="120"/>
  <c r="CK14" i="120"/>
  <c r="AQ14" i="120" s="1"/>
  <c r="AQ16" i="120"/>
  <c r="AQ17" i="120"/>
  <c r="AQ18" i="120"/>
  <c r="AQ19" i="120"/>
  <c r="AQ20" i="120"/>
  <c r="AQ118" i="120"/>
  <c r="AQ21" i="120"/>
  <c r="AQ23" i="120"/>
  <c r="AQ24" i="120"/>
  <c r="AQ25" i="120"/>
  <c r="AQ26" i="120"/>
  <c r="AQ27" i="120"/>
  <c r="AQ28" i="120"/>
  <c r="AQ29" i="120"/>
  <c r="CK30" i="120"/>
  <c r="AQ30" i="120" s="1"/>
  <c r="AQ32" i="120"/>
  <c r="CK33" i="120"/>
  <c r="AQ33" i="120"/>
  <c r="AQ36" i="120"/>
  <c r="AQ37" i="120"/>
  <c r="AQ38" i="120"/>
  <c r="AQ41" i="120"/>
  <c r="AQ42" i="120"/>
  <c r="AQ43" i="120"/>
  <c r="CK44" i="120"/>
  <c r="AQ44" i="120"/>
  <c r="AQ45" i="120"/>
  <c r="AQ46" i="120"/>
  <c r="CK47" i="120"/>
  <c r="AQ47" i="120" s="1"/>
  <c r="AQ48" i="120"/>
  <c r="AQ49" i="120"/>
  <c r="AQ50" i="120"/>
  <c r="CK51" i="120"/>
  <c r="AQ51" i="120" s="1"/>
  <c r="CK52" i="120"/>
  <c r="AQ52" i="120" s="1"/>
  <c r="CK53" i="120"/>
  <c r="AQ53" i="120" s="1"/>
  <c r="CK54" i="120"/>
  <c r="AQ54" i="120"/>
  <c r="AQ56" i="120"/>
  <c r="AQ57" i="120"/>
  <c r="AQ58" i="120"/>
  <c r="AQ59" i="120"/>
  <c r="AQ60" i="120"/>
  <c r="AQ61" i="120"/>
  <c r="AQ62" i="120"/>
  <c r="AQ63" i="120"/>
  <c r="CK66" i="120"/>
  <c r="AQ66" i="120"/>
  <c r="AQ67" i="120"/>
  <c r="AQ69" i="120"/>
  <c r="AQ70" i="120"/>
  <c r="AQ71" i="120" s="1"/>
  <c r="AQ73" i="120"/>
  <c r="AQ74" i="120"/>
  <c r="AQ75" i="120"/>
  <c r="AQ76" i="120"/>
  <c r="AQ77" i="120"/>
  <c r="AQ78" i="120"/>
  <c r="AQ87" i="120"/>
  <c r="AQ89" i="120"/>
  <c r="AQ90" i="120"/>
  <c r="AQ91" i="120"/>
  <c r="AQ92" i="120"/>
  <c r="CI31" i="120"/>
  <c r="AR31" i="120" s="1"/>
  <c r="AR39" i="120"/>
  <c r="AR65" i="120"/>
  <c r="CI82" i="120"/>
  <c r="AR84" i="120"/>
  <c r="AR7" i="120"/>
  <c r="AR8" i="120"/>
  <c r="AR9" i="120"/>
  <c r="AR10" i="120"/>
  <c r="AR11" i="120"/>
  <c r="AR12" i="120"/>
  <c r="AR13" i="120"/>
  <c r="CI14" i="120"/>
  <c r="AR14" i="120"/>
  <c r="AR16" i="120"/>
  <c r="AR17" i="120"/>
  <c r="AR18" i="120"/>
  <c r="AR19" i="120"/>
  <c r="AR20" i="120"/>
  <c r="AR118" i="120"/>
  <c r="AR21" i="120" s="1"/>
  <c r="AR23" i="120"/>
  <c r="AR24" i="120"/>
  <c r="AR25" i="120"/>
  <c r="AR26" i="120"/>
  <c r="AR27" i="120"/>
  <c r="AR28" i="120"/>
  <c r="AR29" i="120"/>
  <c r="CI30" i="120"/>
  <c r="AR30" i="120"/>
  <c r="AR32" i="120"/>
  <c r="CI33" i="120"/>
  <c r="AR33" i="120"/>
  <c r="AR36" i="120"/>
  <c r="AR37" i="120"/>
  <c r="AR38" i="120"/>
  <c r="AR41" i="120"/>
  <c r="AR42" i="120"/>
  <c r="AR43" i="120"/>
  <c r="CI44" i="120"/>
  <c r="AR44" i="120" s="1"/>
  <c r="AR45" i="120"/>
  <c r="AR46" i="120"/>
  <c r="CI47" i="120"/>
  <c r="AR47" i="120"/>
  <c r="AR48" i="120"/>
  <c r="AR49" i="120"/>
  <c r="AR50" i="120"/>
  <c r="CI51" i="120"/>
  <c r="AR51" i="120"/>
  <c r="CI52" i="120"/>
  <c r="AR52" i="120"/>
  <c r="CI53" i="120"/>
  <c r="AR53" i="120"/>
  <c r="CI54" i="120"/>
  <c r="AR54" i="120" s="1"/>
  <c r="AR56" i="120"/>
  <c r="AR57" i="120"/>
  <c r="AR58" i="120"/>
  <c r="AR59" i="120"/>
  <c r="AR60" i="120"/>
  <c r="AR61" i="120"/>
  <c r="AR62" i="120"/>
  <c r="AR63" i="120"/>
  <c r="CI66" i="120"/>
  <c r="AR66" i="120" s="1"/>
  <c r="AR67" i="120"/>
  <c r="AR69" i="120"/>
  <c r="AR70" i="120"/>
  <c r="AR71" i="120"/>
  <c r="AR73" i="120"/>
  <c r="AR74" i="120"/>
  <c r="AR75" i="120"/>
  <c r="AR76" i="120"/>
  <c r="AR77" i="120"/>
  <c r="AR78" i="120"/>
  <c r="AR83" i="120"/>
  <c r="AR85" i="120"/>
  <c r="AR87" i="120"/>
  <c r="AR89" i="120"/>
  <c r="AR90" i="120"/>
  <c r="AR91" i="120"/>
  <c r="AR92" i="120"/>
  <c r="CF31" i="120"/>
  <c r="AS31" i="120" s="1"/>
  <c r="CG31" i="120"/>
  <c r="AS23" i="120"/>
  <c r="AS39" i="120"/>
  <c r="AS65" i="120"/>
  <c r="CF82" i="120"/>
  <c r="CG82" i="120"/>
  <c r="AS7" i="120"/>
  <c r="AS8" i="120"/>
  <c r="AS9" i="120"/>
  <c r="AS10" i="120"/>
  <c r="AS11" i="120"/>
  <c r="AS12" i="120"/>
  <c r="AS13" i="120"/>
  <c r="AS14" i="120"/>
  <c r="AS16" i="120"/>
  <c r="AS17" i="120" s="1"/>
  <c r="AS18" i="120"/>
  <c r="AS19" i="120"/>
  <c r="AS20" i="120"/>
  <c r="AS118" i="120"/>
  <c r="AS21" i="120" s="1"/>
  <c r="AS24" i="120"/>
  <c r="AS25" i="120"/>
  <c r="AS26" i="120"/>
  <c r="AS27" i="120"/>
  <c r="AS28" i="120"/>
  <c r="AS29" i="120"/>
  <c r="AS30" i="120"/>
  <c r="AS32" i="120"/>
  <c r="AS33" i="120" s="1"/>
  <c r="AS36" i="120"/>
  <c r="AS37" i="120"/>
  <c r="AS38" i="120"/>
  <c r="AS41" i="120"/>
  <c r="AS42" i="120"/>
  <c r="AS43" i="120"/>
  <c r="CF44" i="120"/>
  <c r="CG44" i="120"/>
  <c r="AS44" i="120"/>
  <c r="AS45" i="120"/>
  <c r="AS46" i="120"/>
  <c r="CF47" i="120"/>
  <c r="CG47" i="120"/>
  <c r="AS47" i="120"/>
  <c r="AS48" i="120"/>
  <c r="AS49" i="120"/>
  <c r="AS50" i="120"/>
  <c r="AS95" i="120"/>
  <c r="AS51" i="120"/>
  <c r="CF52" i="120"/>
  <c r="CG52" i="120"/>
  <c r="AS52" i="120"/>
  <c r="AS98" i="120"/>
  <c r="AS53" i="120"/>
  <c r="AS97" i="120"/>
  <c r="AS54" i="120"/>
  <c r="AS56" i="120"/>
  <c r="AS57" i="120"/>
  <c r="AS58" i="120"/>
  <c r="AS59" i="120"/>
  <c r="AS60" i="120"/>
  <c r="AS61" i="120"/>
  <c r="AS62" i="120"/>
  <c r="AS63" i="120"/>
  <c r="CG66" i="120"/>
  <c r="AS66" i="120"/>
  <c r="AS67" i="120"/>
  <c r="AS69" i="120"/>
  <c r="AS70" i="120"/>
  <c r="AS71" i="120" s="1"/>
  <c r="AS73" i="120"/>
  <c r="AS74" i="120"/>
  <c r="AS75" i="120"/>
  <c r="AS76" i="120"/>
  <c r="AS77" i="120"/>
  <c r="AS78" i="120"/>
  <c r="AS87" i="120"/>
  <c r="AS89" i="120"/>
  <c r="AS90" i="120"/>
  <c r="AS91" i="120"/>
  <c r="AS92" i="120"/>
  <c r="AT14" i="120"/>
  <c r="AT107" i="120" s="1"/>
  <c r="AT21" i="120"/>
  <c r="AT30" i="120"/>
  <c r="AT33" i="120"/>
  <c r="AT51" i="120"/>
  <c r="AT53" i="120"/>
  <c r="AT54" i="120"/>
  <c r="AT71" i="120"/>
  <c r="AU21" i="120"/>
  <c r="AU107" i="120" s="1"/>
  <c r="AU51" i="120"/>
  <c r="AU54" i="120"/>
  <c r="AU71" i="120"/>
  <c r="AV21" i="120"/>
  <c r="AV71" i="120"/>
  <c r="AV107" i="120"/>
  <c r="AW21" i="120"/>
  <c r="AW71" i="120"/>
  <c r="AX14" i="120"/>
  <c r="AX107" i="120" s="1"/>
  <c r="AX21" i="120"/>
  <c r="AX30" i="120"/>
  <c r="AX33" i="120"/>
  <c r="AX51" i="120"/>
  <c r="AX53" i="120"/>
  <c r="AX54" i="120"/>
  <c r="AX71" i="120"/>
  <c r="AY21" i="120"/>
  <c r="AY71" i="120"/>
  <c r="AY107" i="120"/>
  <c r="AZ82" i="120"/>
  <c r="AZ14" i="120"/>
  <c r="AZ21" i="120"/>
  <c r="AZ30" i="120"/>
  <c r="AZ33" i="120"/>
  <c r="AZ51" i="120"/>
  <c r="AZ53" i="120"/>
  <c r="AZ54" i="120"/>
  <c r="AZ71" i="120"/>
  <c r="AZ107" i="120"/>
  <c r="BA82" i="120"/>
  <c r="BA14" i="120"/>
  <c r="BA21" i="120"/>
  <c r="BA107" i="120" s="1"/>
  <c r="BA30" i="120"/>
  <c r="BA33" i="120"/>
  <c r="BA47" i="120"/>
  <c r="BA51" i="120"/>
  <c r="BA53" i="120"/>
  <c r="BA54" i="120"/>
  <c r="BA71" i="120"/>
  <c r="BB21" i="120"/>
  <c r="BB71" i="120"/>
  <c r="BC21" i="120"/>
  <c r="BC107" i="120" s="1"/>
  <c r="BC71" i="120"/>
  <c r="BD21" i="120"/>
  <c r="BD71" i="120"/>
  <c r="BD107" i="120"/>
  <c r="BE21" i="120"/>
  <c r="BE71" i="120"/>
  <c r="BE107" i="120"/>
  <c r="BF31" i="120"/>
  <c r="BF82" i="120"/>
  <c r="BF14" i="120"/>
  <c r="BF21" i="120"/>
  <c r="BF30" i="120"/>
  <c r="BF33" i="120"/>
  <c r="BF44" i="120"/>
  <c r="BF47" i="120"/>
  <c r="BF51" i="120"/>
  <c r="BF52" i="120"/>
  <c r="BF53" i="120" s="1"/>
  <c r="K53" i="120" s="1"/>
  <c r="BF54" i="120"/>
  <c r="BF66" i="120"/>
  <c r="BF71" i="120"/>
  <c r="BG14" i="120"/>
  <c r="BG21" i="120"/>
  <c r="BG107" i="120" s="1"/>
  <c r="BG30" i="120"/>
  <c r="BG33" i="120"/>
  <c r="BG51" i="120"/>
  <c r="BG53" i="120"/>
  <c r="BG54" i="120"/>
  <c r="BG71" i="120"/>
  <c r="BH14" i="120"/>
  <c r="BH21" i="120"/>
  <c r="BH30" i="120"/>
  <c r="BH33" i="120"/>
  <c r="BH51" i="120"/>
  <c r="BH54" i="120"/>
  <c r="BH71" i="120"/>
  <c r="BI14" i="120"/>
  <c r="BI21" i="120"/>
  <c r="BI30" i="120"/>
  <c r="BI33" i="120"/>
  <c r="BI51" i="120"/>
  <c r="BI53" i="120"/>
  <c r="BI54" i="120"/>
  <c r="BI71" i="120"/>
  <c r="BI107" i="120"/>
  <c r="BJ14" i="120"/>
  <c r="BJ21" i="120"/>
  <c r="BJ30" i="120"/>
  <c r="BJ33" i="120"/>
  <c r="BJ47" i="120"/>
  <c r="BJ51" i="120"/>
  <c r="BJ53" i="120"/>
  <c r="BJ54" i="120"/>
  <c r="BJ71" i="120"/>
  <c r="BJ107" i="120"/>
  <c r="BK14" i="120"/>
  <c r="BK21" i="120"/>
  <c r="BK30" i="120"/>
  <c r="BK33" i="120"/>
  <c r="BK47" i="120"/>
  <c r="BK51" i="120"/>
  <c r="BK53" i="120"/>
  <c r="BK54" i="120"/>
  <c r="BK71" i="120"/>
  <c r="BK107" i="120"/>
  <c r="BL14" i="120"/>
  <c r="BL21" i="120"/>
  <c r="BL107" i="120" s="1"/>
  <c r="BL30" i="120"/>
  <c r="BL33" i="120"/>
  <c r="BL51" i="120"/>
  <c r="BL53" i="120"/>
  <c r="BL54" i="120"/>
  <c r="BL71" i="120"/>
  <c r="BM21" i="120"/>
  <c r="BM107" i="120" s="1"/>
  <c r="BM71" i="120"/>
  <c r="BN14" i="120"/>
  <c r="BN21" i="120"/>
  <c r="BN30" i="120"/>
  <c r="BN107" i="120" s="1"/>
  <c r="BN33" i="120"/>
  <c r="BN47" i="120"/>
  <c r="BN51" i="120"/>
  <c r="BN53" i="120"/>
  <c r="BN54" i="120"/>
  <c r="BN71" i="120"/>
  <c r="BO14" i="120"/>
  <c r="BO107" i="120" s="1"/>
  <c r="BO21" i="120"/>
  <c r="BO30" i="120"/>
  <c r="BO33" i="120"/>
  <c r="BO51" i="120"/>
  <c r="BO53" i="120"/>
  <c r="BO54" i="120"/>
  <c r="BO71" i="120"/>
  <c r="BP21" i="120"/>
  <c r="BP107" i="120" s="1"/>
  <c r="BP71" i="120"/>
  <c r="BQ14" i="120"/>
  <c r="BQ107" i="120" s="1"/>
  <c r="BQ21" i="120"/>
  <c r="BQ30" i="120"/>
  <c r="BQ33" i="120"/>
  <c r="BQ47" i="120"/>
  <c r="BQ51" i="120"/>
  <c r="BQ53" i="120"/>
  <c r="BQ54" i="120"/>
  <c r="BQ71" i="120"/>
  <c r="BR21" i="120"/>
  <c r="BR107" i="120" s="1"/>
  <c r="BR71" i="120"/>
  <c r="BS14" i="120"/>
  <c r="BS21" i="120"/>
  <c r="BS30" i="120"/>
  <c r="BS33" i="120"/>
  <c r="BS51" i="120"/>
  <c r="BS54" i="120"/>
  <c r="BS71" i="120"/>
  <c r="BT14" i="120"/>
  <c r="BT21" i="120"/>
  <c r="BT30" i="120"/>
  <c r="BT33" i="120"/>
  <c r="BT51" i="120"/>
  <c r="BT53" i="120"/>
  <c r="BT54" i="120"/>
  <c r="BT71" i="120"/>
  <c r="BT107" i="120"/>
  <c r="BU21" i="120"/>
  <c r="BU71" i="120"/>
  <c r="BV21" i="120"/>
  <c r="BV71" i="120"/>
  <c r="BW21" i="120"/>
  <c r="BW71" i="120"/>
  <c r="BX21" i="120"/>
  <c r="BX107" i="120" s="1"/>
  <c r="BX71" i="120"/>
  <c r="BY21" i="120"/>
  <c r="BY71" i="120"/>
  <c r="BZ21" i="120"/>
  <c r="BZ71" i="120"/>
  <c r="CA21" i="120"/>
  <c r="CA107" i="120" s="1"/>
  <c r="CA71" i="120"/>
  <c r="CB21" i="120"/>
  <c r="CB107" i="120" s="1"/>
  <c r="CB71" i="120"/>
  <c r="CC21" i="120"/>
  <c r="CC71" i="120"/>
  <c r="CD21" i="120"/>
  <c r="CD71" i="120"/>
  <c r="CE21" i="120"/>
  <c r="CE71" i="120"/>
  <c r="CF14" i="120"/>
  <c r="CF21" i="120"/>
  <c r="CF107" i="120" s="1"/>
  <c r="CF30" i="120"/>
  <c r="CF33" i="120"/>
  <c r="CF51" i="120"/>
  <c r="CF53" i="120"/>
  <c r="CF54" i="120"/>
  <c r="CF71" i="120"/>
  <c r="CG14" i="120"/>
  <c r="CG107" i="120" s="1"/>
  <c r="CG21" i="120"/>
  <c r="CG30" i="120"/>
  <c r="CG33" i="120"/>
  <c r="CG51" i="120"/>
  <c r="CG53" i="120"/>
  <c r="CG54" i="120"/>
  <c r="CG71" i="120"/>
  <c r="CH21" i="120"/>
  <c r="CH107" i="120" s="1"/>
  <c r="CH71" i="120"/>
  <c r="CI21" i="120"/>
  <c r="CI107" i="120" s="1"/>
  <c r="CI71" i="120"/>
  <c r="CJ21" i="120"/>
  <c r="CJ71" i="120"/>
  <c r="CJ107" i="120"/>
  <c r="CK21" i="120"/>
  <c r="CK71" i="120"/>
  <c r="CL31" i="120"/>
  <c r="CL82" i="120"/>
  <c r="CL14" i="120"/>
  <c r="CL21" i="120"/>
  <c r="CL30" i="120"/>
  <c r="CL33" i="120"/>
  <c r="CL44" i="120"/>
  <c r="CL47" i="120"/>
  <c r="CL51" i="120"/>
  <c r="CL54" i="120"/>
  <c r="CL67" i="120"/>
  <c r="CL71" i="120"/>
  <c r="G31" i="120"/>
  <c r="G13" i="120"/>
  <c r="G14" i="120"/>
  <c r="G17" i="120"/>
  <c r="G21" i="120"/>
  <c r="G30" i="120"/>
  <c r="G33" i="120"/>
  <c r="G44" i="120"/>
  <c r="G47" i="120"/>
  <c r="G95" i="120"/>
  <c r="G51" i="120" s="1"/>
  <c r="G96" i="120"/>
  <c r="G52" i="120"/>
  <c r="G54" i="120"/>
  <c r="G67" i="120"/>
  <c r="G71" i="120"/>
  <c r="H31" i="120"/>
  <c r="H13" i="120"/>
  <c r="H14" i="120" s="1"/>
  <c r="H17" i="120"/>
  <c r="H21" i="120"/>
  <c r="H30" i="120"/>
  <c r="H33" i="120"/>
  <c r="H44" i="120"/>
  <c r="H47" i="120"/>
  <c r="H95" i="120"/>
  <c r="H51" i="120" s="1"/>
  <c r="H96" i="120"/>
  <c r="H52" i="120" s="1"/>
  <c r="H54" i="120"/>
  <c r="H66" i="120"/>
  <c r="H67" i="120"/>
  <c r="H71" i="120"/>
  <c r="I31" i="120"/>
  <c r="I13" i="120"/>
  <c r="I14" i="120" s="1"/>
  <c r="I17" i="120"/>
  <c r="I21" i="120"/>
  <c r="I30" i="120"/>
  <c r="I33" i="120"/>
  <c r="I44" i="120"/>
  <c r="I47" i="120"/>
  <c r="I95" i="120"/>
  <c r="I51" i="120"/>
  <c r="I96" i="120"/>
  <c r="I52" i="120" s="1"/>
  <c r="I54" i="120"/>
  <c r="I67" i="120"/>
  <c r="I71" i="120"/>
  <c r="J107" i="120"/>
  <c r="K31" i="120"/>
  <c r="K65" i="120"/>
  <c r="K83" i="120"/>
  <c r="K84" i="120"/>
  <c r="K85" i="120"/>
  <c r="K7" i="120"/>
  <c r="K8" i="120"/>
  <c r="K9" i="120"/>
  <c r="K10" i="120"/>
  <c r="K11" i="120"/>
  <c r="K12" i="120"/>
  <c r="K13" i="120"/>
  <c r="K14" i="120"/>
  <c r="K16" i="120"/>
  <c r="K17" i="120"/>
  <c r="K18" i="120"/>
  <c r="K19" i="120"/>
  <c r="K20" i="120"/>
  <c r="K21" i="120" s="1"/>
  <c r="K118" i="120"/>
  <c r="K23" i="120"/>
  <c r="K24" i="120"/>
  <c r="K25" i="120"/>
  <c r="K26" i="120"/>
  <c r="K27" i="120"/>
  <c r="K28" i="120"/>
  <c r="K29" i="120"/>
  <c r="K30" i="120"/>
  <c r="K32" i="120"/>
  <c r="K33" i="120"/>
  <c r="K36" i="120"/>
  <c r="K37" i="120"/>
  <c r="K38" i="120"/>
  <c r="K39" i="120"/>
  <c r="K41" i="120"/>
  <c r="K42" i="120"/>
  <c r="K43" i="120"/>
  <c r="K44" i="120"/>
  <c r="K45" i="120"/>
  <c r="K46" i="120"/>
  <c r="K47" i="120"/>
  <c r="K48" i="120"/>
  <c r="K49" i="120"/>
  <c r="K50" i="120"/>
  <c r="K51" i="120"/>
  <c r="K52" i="120"/>
  <c r="K54" i="120"/>
  <c r="K56" i="120"/>
  <c r="K57" i="120"/>
  <c r="K58" i="120"/>
  <c r="K59" i="120"/>
  <c r="K60" i="120"/>
  <c r="K61" i="120"/>
  <c r="K62" i="120"/>
  <c r="K63" i="120"/>
  <c r="K66" i="120"/>
  <c r="K67" i="120"/>
  <c r="K69" i="120"/>
  <c r="K70" i="120"/>
  <c r="K71" i="120" s="1"/>
  <c r="K73" i="120"/>
  <c r="K74" i="120"/>
  <c r="K75" i="120"/>
  <c r="K76" i="120"/>
  <c r="K77" i="120"/>
  <c r="K78" i="120"/>
  <c r="K87" i="120"/>
  <c r="K89" i="120"/>
  <c r="K90" i="120"/>
  <c r="K91" i="120"/>
  <c r="K92" i="120"/>
  <c r="F31" i="120"/>
  <c r="F13" i="120"/>
  <c r="F14" i="120" s="1"/>
  <c r="F17" i="120"/>
  <c r="F21" i="120"/>
  <c r="F30" i="120"/>
  <c r="F33" i="120"/>
  <c r="F44" i="120"/>
  <c r="F47" i="120"/>
  <c r="F95" i="120"/>
  <c r="F51" i="120" s="1"/>
  <c r="F96" i="120"/>
  <c r="F52" i="120" s="1"/>
  <c r="F54" i="120"/>
  <c r="F66" i="120"/>
  <c r="F67" i="120"/>
  <c r="F71" i="120"/>
  <c r="A94" i="120"/>
  <c r="A95" i="120"/>
  <c r="A96" i="120"/>
  <c r="A97" i="120"/>
  <c r="A98" i="120"/>
  <c r="A99" i="120"/>
  <c r="A100" i="120"/>
  <c r="A101" i="120"/>
  <c r="A102" i="120"/>
  <c r="A103" i="120"/>
  <c r="A104" i="120"/>
  <c r="A105" i="120"/>
  <c r="A106" i="120"/>
  <c r="B54" i="120"/>
  <c r="B53" i="120"/>
  <c r="A70" i="120"/>
  <c r="A71" i="120"/>
  <c r="A72" i="120"/>
  <c r="A73" i="120"/>
  <c r="A74" i="120"/>
  <c r="A75" i="120"/>
  <c r="A76" i="120"/>
  <c r="A77" i="120"/>
  <c r="A78" i="120"/>
  <c r="A79" i="120"/>
  <c r="A80" i="120"/>
  <c r="A81" i="120"/>
  <c r="A82" i="120"/>
  <c r="A83" i="120"/>
  <c r="A84" i="120"/>
  <c r="A85" i="120"/>
  <c r="A86" i="120"/>
  <c r="A87" i="120"/>
  <c r="A88" i="120"/>
  <c r="A89" i="120"/>
  <c r="A90" i="120"/>
  <c r="A91" i="120"/>
  <c r="A92" i="120"/>
  <c r="A93" i="120"/>
  <c r="A14" i="120"/>
  <c r="A15" i="120"/>
  <c r="A16" i="120"/>
  <c r="A17" i="120"/>
  <c r="A18" i="120"/>
  <c r="A19" i="120"/>
  <c r="A20" i="120"/>
  <c r="A21" i="120"/>
  <c r="A22" i="120"/>
  <c r="A23" i="120"/>
  <c r="A24" i="120"/>
  <c r="A25" i="120"/>
  <c r="A26" i="120"/>
  <c r="B31" i="120"/>
  <c r="AS100" i="120"/>
  <c r="AR100" i="120"/>
  <c r="AQ100" i="120"/>
  <c r="AP100" i="120"/>
  <c r="AO100" i="120"/>
  <c r="AN100" i="120"/>
  <c r="AM100" i="120"/>
  <c r="AL100" i="120"/>
  <c r="AK100" i="120"/>
  <c r="AJ100" i="120"/>
  <c r="AI100" i="120"/>
  <c r="AH100" i="120"/>
  <c r="AG100" i="120"/>
  <c r="AF100" i="120"/>
  <c r="AE100" i="120"/>
  <c r="AD100" i="120"/>
  <c r="AC100" i="120"/>
  <c r="AB100" i="120"/>
  <c r="AA100" i="120"/>
  <c r="Z100" i="120"/>
  <c r="Y100" i="120"/>
  <c r="X100" i="120"/>
  <c r="W100" i="120"/>
  <c r="V100" i="120"/>
  <c r="U100" i="120"/>
  <c r="T100" i="120"/>
  <c r="S100" i="120"/>
  <c r="R100" i="120"/>
  <c r="Q100" i="120"/>
  <c r="P100" i="120"/>
  <c r="O100" i="120"/>
  <c r="N100" i="120"/>
  <c r="M100" i="120"/>
  <c r="L100" i="120"/>
  <c r="K100" i="120"/>
  <c r="C100" i="120"/>
  <c r="A27" i="120"/>
  <c r="A28" i="120"/>
  <c r="A29" i="120"/>
  <c r="A30" i="120"/>
  <c r="A31" i="120"/>
  <c r="A32" i="120"/>
  <c r="A33" i="120"/>
  <c r="A34" i="120"/>
  <c r="A35" i="120"/>
  <c r="A36" i="120"/>
  <c r="A37" i="120"/>
  <c r="A38" i="120"/>
  <c r="A39" i="120"/>
  <c r="A40" i="120"/>
  <c r="A41" i="120"/>
  <c r="A42" i="120"/>
  <c r="A43" i="120"/>
  <c r="A44" i="120"/>
  <c r="A45" i="120"/>
  <c r="A46" i="120"/>
  <c r="A47" i="120"/>
  <c r="A48" i="120"/>
  <c r="A49" i="120"/>
  <c r="A50" i="120"/>
  <c r="A51" i="120"/>
  <c r="A52" i="120"/>
  <c r="A53" i="120"/>
  <c r="A54" i="120"/>
  <c r="A55" i="120"/>
  <c r="A56" i="120"/>
  <c r="A57" i="120"/>
  <c r="A58" i="120"/>
  <c r="A59" i="120"/>
  <c r="A60" i="120"/>
  <c r="A61" i="120"/>
  <c r="A62" i="120"/>
  <c r="A63" i="120"/>
  <c r="A64" i="120"/>
  <c r="A65" i="120"/>
  <c r="A66" i="120"/>
  <c r="A67" i="120"/>
  <c r="A68" i="120"/>
  <c r="A69" i="120"/>
  <c r="R106" i="120"/>
  <c r="R105" i="120"/>
  <c r="R104" i="120"/>
  <c r="R103" i="120"/>
  <c r="R102" i="120"/>
  <c r="R101" i="120"/>
  <c r="R93" i="120"/>
  <c r="R117" i="120"/>
  <c r="CL5" i="120"/>
  <c r="CK5" i="120"/>
  <c r="CJ5" i="120"/>
  <c r="CI5" i="120"/>
  <c r="CH5" i="120"/>
  <c r="CG5" i="120"/>
  <c r="CF5" i="120"/>
  <c r="CE5" i="120"/>
  <c r="CD5" i="120"/>
  <c r="CC5" i="120"/>
  <c r="CB5" i="120"/>
  <c r="CA5" i="120"/>
  <c r="BZ5" i="120"/>
  <c r="BY5" i="120"/>
  <c r="BX5" i="120"/>
  <c r="BW5" i="120"/>
  <c r="BV5" i="120"/>
  <c r="BU5" i="120"/>
  <c r="BT5" i="120"/>
  <c r="BS5" i="120"/>
  <c r="BR5" i="120"/>
  <c r="BQ5" i="120"/>
  <c r="BP5" i="120"/>
  <c r="BO5" i="120"/>
  <c r="BN5" i="120"/>
  <c r="BM5" i="120"/>
  <c r="BL5" i="120"/>
  <c r="BK5" i="120"/>
  <c r="BJ5" i="120"/>
  <c r="BI5" i="120"/>
  <c r="BH5" i="120"/>
  <c r="BG5" i="120"/>
  <c r="BF5" i="120"/>
  <c r="BE5" i="120"/>
  <c r="BD5" i="120"/>
  <c r="BC5" i="120"/>
  <c r="BB5" i="120"/>
  <c r="BA5" i="120"/>
  <c r="AZ5" i="120"/>
  <c r="AY5" i="120"/>
  <c r="AX5" i="120"/>
  <c r="AW5" i="120"/>
  <c r="AV5" i="120"/>
  <c r="AU5" i="120"/>
  <c r="AT5" i="120"/>
  <c r="AS5" i="120"/>
  <c r="AR5" i="120"/>
  <c r="AQ5" i="120"/>
  <c r="AP5" i="120"/>
  <c r="AO5" i="120"/>
  <c r="AN5" i="120"/>
  <c r="AM5" i="120"/>
  <c r="AL5" i="120"/>
  <c r="AK5" i="120"/>
  <c r="AJ5" i="120"/>
  <c r="AI5" i="120"/>
  <c r="AH5" i="120"/>
  <c r="AG5" i="120"/>
  <c r="AF5" i="120"/>
  <c r="AE5" i="120"/>
  <c r="AD5" i="120"/>
  <c r="AC5" i="120"/>
  <c r="AB5" i="120"/>
  <c r="AA5" i="120"/>
  <c r="Z5" i="120"/>
  <c r="Y5" i="120"/>
  <c r="X5" i="120"/>
  <c r="W5" i="120"/>
  <c r="V5" i="120"/>
  <c r="U5" i="120"/>
  <c r="T5" i="120"/>
  <c r="S5" i="120"/>
  <c r="R5" i="120"/>
  <c r="Q5" i="120"/>
  <c r="P5" i="120"/>
  <c r="O5" i="120"/>
  <c r="N5" i="120"/>
  <c r="M5" i="120"/>
  <c r="L5" i="120"/>
  <c r="K5" i="120"/>
  <c r="J5" i="120"/>
  <c r="I5" i="120"/>
  <c r="H5" i="120"/>
  <c r="G5" i="120"/>
  <c r="F5" i="120"/>
  <c r="A6" i="120"/>
  <c r="A7" i="120"/>
  <c r="A8" i="120"/>
  <c r="A9" i="120"/>
  <c r="A10" i="120"/>
  <c r="A11" i="120"/>
  <c r="A12" i="120"/>
  <c r="A13" i="120"/>
  <c r="A5" i="120"/>
  <c r="C98" i="120"/>
  <c r="AS96" i="120"/>
  <c r="AE96" i="120"/>
  <c r="AA96" i="120"/>
  <c r="Y96" i="120"/>
  <c r="X96" i="120"/>
  <c r="V96" i="120"/>
  <c r="R96" i="120"/>
  <c r="P96" i="120"/>
  <c r="AS93" i="120"/>
  <c r="AS106" i="120"/>
  <c r="AR106" i="120"/>
  <c r="AQ106" i="120"/>
  <c r="AS105" i="120"/>
  <c r="AR105" i="120"/>
  <c r="AQ105" i="120"/>
  <c r="AS104" i="120"/>
  <c r="AR104" i="120"/>
  <c r="AQ104" i="120"/>
  <c r="AS103" i="120"/>
  <c r="AR103" i="120"/>
  <c r="AQ103" i="120"/>
  <c r="AS102" i="120"/>
  <c r="AR102" i="120"/>
  <c r="AQ102" i="120"/>
  <c r="AS101" i="120"/>
  <c r="AR101" i="120"/>
  <c r="AQ101" i="120"/>
  <c r="AR97" i="120"/>
  <c r="AQ97" i="120"/>
  <c r="AR98" i="120"/>
  <c r="AQ98" i="120"/>
  <c r="AR95" i="120"/>
  <c r="AQ95" i="120"/>
  <c r="AR96" i="120"/>
  <c r="AQ96" i="120"/>
  <c r="AR93" i="120"/>
  <c r="AQ93" i="120"/>
  <c r="AS117" i="120"/>
  <c r="AR117" i="120"/>
  <c r="AQ117" i="120"/>
  <c r="AP106" i="120"/>
  <c r="AO106" i="120"/>
  <c r="AN106" i="120"/>
  <c r="AM106" i="120"/>
  <c r="AP105" i="120"/>
  <c r="AO105" i="120"/>
  <c r="AN105" i="120"/>
  <c r="AM105" i="120"/>
  <c r="AP104" i="120"/>
  <c r="AO104" i="120"/>
  <c r="AN104" i="120"/>
  <c r="AM104" i="120"/>
  <c r="AP103" i="120"/>
  <c r="AO103" i="120"/>
  <c r="AN103" i="120"/>
  <c r="AM103" i="120"/>
  <c r="AP102" i="120"/>
  <c r="AO102" i="120"/>
  <c r="AN102" i="120"/>
  <c r="AM102" i="120"/>
  <c r="AP101" i="120"/>
  <c r="AO101" i="120"/>
  <c r="AN101" i="120"/>
  <c r="AM101" i="120"/>
  <c r="AP97" i="120"/>
  <c r="AO97" i="120"/>
  <c r="AN97" i="120"/>
  <c r="AM97" i="120"/>
  <c r="AP98" i="120"/>
  <c r="AO98" i="120"/>
  <c r="AN98" i="120"/>
  <c r="AM98" i="120"/>
  <c r="AP95" i="120"/>
  <c r="AO95" i="120"/>
  <c r="AN95" i="120"/>
  <c r="AM95" i="120"/>
  <c r="AP96" i="120"/>
  <c r="AO96" i="120"/>
  <c r="AN96" i="120"/>
  <c r="AM96" i="120"/>
  <c r="AP93" i="120"/>
  <c r="AO93" i="120"/>
  <c r="AN93" i="120"/>
  <c r="AM93" i="120"/>
  <c r="AP117" i="120"/>
  <c r="AO117" i="120"/>
  <c r="AN117" i="120"/>
  <c r="AM117" i="120"/>
  <c r="AL106" i="120"/>
  <c r="AK106" i="120"/>
  <c r="AJ106" i="120"/>
  <c r="AL105" i="120"/>
  <c r="AK105" i="120"/>
  <c r="AJ105" i="120"/>
  <c r="AL104" i="120"/>
  <c r="AK104" i="120"/>
  <c r="AJ104" i="120"/>
  <c r="AL103" i="120"/>
  <c r="AK103" i="120"/>
  <c r="AJ103" i="120"/>
  <c r="AL102" i="120"/>
  <c r="AK102" i="120"/>
  <c r="AJ102" i="120"/>
  <c r="AL101" i="120"/>
  <c r="AK101" i="120"/>
  <c r="AJ101" i="120"/>
  <c r="AL97" i="120"/>
  <c r="AK97" i="120"/>
  <c r="AJ97" i="120"/>
  <c r="AL98" i="120"/>
  <c r="AK98" i="120"/>
  <c r="AJ98" i="120"/>
  <c r="AL95" i="120"/>
  <c r="AK95" i="120"/>
  <c r="AJ95" i="120"/>
  <c r="AL96" i="120"/>
  <c r="AK96" i="120"/>
  <c r="AJ96" i="120"/>
  <c r="AL93" i="120"/>
  <c r="AK93" i="120"/>
  <c r="AJ93" i="120"/>
  <c r="AL117" i="120"/>
  <c r="AK117" i="120"/>
  <c r="AJ117" i="120"/>
  <c r="AI106" i="120"/>
  <c r="AH106" i="120"/>
  <c r="AG106" i="120"/>
  <c r="AF106" i="120"/>
  <c r="AI105" i="120"/>
  <c r="AH105" i="120"/>
  <c r="AG105" i="120"/>
  <c r="AF105" i="120"/>
  <c r="AI104" i="120"/>
  <c r="AH104" i="120"/>
  <c r="AG104" i="120"/>
  <c r="AF104" i="120"/>
  <c r="AI103" i="120"/>
  <c r="AH103" i="120"/>
  <c r="AG103" i="120"/>
  <c r="AF103" i="120"/>
  <c r="AI102" i="120"/>
  <c r="AH102" i="120"/>
  <c r="AG102" i="120"/>
  <c r="AF102" i="120"/>
  <c r="AI101" i="120"/>
  <c r="AH101" i="120"/>
  <c r="AG101" i="120"/>
  <c r="AF101" i="120"/>
  <c r="AI97" i="120"/>
  <c r="AH97" i="120"/>
  <c r="AG97" i="120"/>
  <c r="AF97" i="120"/>
  <c r="AI98" i="120"/>
  <c r="AH98" i="120"/>
  <c r="AG98" i="120"/>
  <c r="AF98" i="120"/>
  <c r="AI95" i="120"/>
  <c r="AH95" i="120"/>
  <c r="AG95" i="120"/>
  <c r="AF95" i="120"/>
  <c r="AI96" i="120"/>
  <c r="AH96" i="120"/>
  <c r="AG96" i="120"/>
  <c r="AF96" i="120"/>
  <c r="AI93" i="120"/>
  <c r="AH93" i="120"/>
  <c r="AG93" i="120"/>
  <c r="AF93" i="120"/>
  <c r="AI117" i="120"/>
  <c r="AH117" i="120"/>
  <c r="AG117" i="120"/>
  <c r="AF117" i="120"/>
  <c r="AE93" i="120"/>
  <c r="AE106" i="120"/>
  <c r="AE105" i="120"/>
  <c r="AE104" i="120"/>
  <c r="AE103" i="120"/>
  <c r="AE102" i="120"/>
  <c r="AE101" i="120"/>
  <c r="AE117" i="120"/>
  <c r="AD106" i="120"/>
  <c r="AC106" i="120"/>
  <c r="AB106" i="120"/>
  <c r="AD105" i="120"/>
  <c r="AC105" i="120"/>
  <c r="AB105" i="120"/>
  <c r="AD104" i="120"/>
  <c r="AC104" i="120"/>
  <c r="AB104" i="120"/>
  <c r="AD103" i="120"/>
  <c r="AC103" i="120"/>
  <c r="AB103" i="120"/>
  <c r="AD102" i="120"/>
  <c r="AC102" i="120"/>
  <c r="AB102" i="120"/>
  <c r="AD101" i="120"/>
  <c r="AC101" i="120"/>
  <c r="AB101" i="120"/>
  <c r="AD97" i="120"/>
  <c r="AC97" i="120"/>
  <c r="AB97" i="120"/>
  <c r="AD98" i="120"/>
  <c r="AC98" i="120"/>
  <c r="AB98" i="120"/>
  <c r="AD95" i="120"/>
  <c r="AC95" i="120"/>
  <c r="AB95" i="120"/>
  <c r="AD96" i="120"/>
  <c r="AC96" i="120"/>
  <c r="AB96" i="120"/>
  <c r="AD93" i="120"/>
  <c r="AC93" i="120"/>
  <c r="AB93" i="120"/>
  <c r="AD117" i="120"/>
  <c r="AC117" i="120"/>
  <c r="AB117" i="120"/>
  <c r="AA93" i="120"/>
  <c r="AA106" i="120"/>
  <c r="AA105" i="120"/>
  <c r="AA104" i="120"/>
  <c r="AA103" i="120"/>
  <c r="AA102" i="120"/>
  <c r="AA101" i="120"/>
  <c r="AA117" i="120"/>
  <c r="Z106" i="120"/>
  <c r="Z105" i="120"/>
  <c r="Z104" i="120"/>
  <c r="Z103" i="120"/>
  <c r="Z102" i="120"/>
  <c r="Z101" i="120"/>
  <c r="Z97" i="120"/>
  <c r="Z98" i="120"/>
  <c r="Z95" i="120"/>
  <c r="Z96" i="120"/>
  <c r="Z93" i="120"/>
  <c r="Z117" i="120"/>
  <c r="Y93" i="120"/>
  <c r="Y106" i="120"/>
  <c r="Y105" i="120"/>
  <c r="Y104" i="120"/>
  <c r="Y103" i="120"/>
  <c r="Y102" i="120"/>
  <c r="Y101" i="120"/>
  <c r="Y117" i="120"/>
  <c r="X93" i="120"/>
  <c r="X106" i="120"/>
  <c r="X105" i="120"/>
  <c r="X104" i="120"/>
  <c r="X103" i="120"/>
  <c r="X102" i="120"/>
  <c r="X101" i="120"/>
  <c r="X117" i="120"/>
  <c r="W106" i="120"/>
  <c r="W105" i="120"/>
  <c r="W104" i="120"/>
  <c r="W103" i="120"/>
  <c r="W102" i="120"/>
  <c r="W101" i="120"/>
  <c r="W97" i="120"/>
  <c r="W98" i="120"/>
  <c r="W95" i="120"/>
  <c r="W96" i="120"/>
  <c r="W93" i="120"/>
  <c r="W117" i="120"/>
  <c r="V93" i="120"/>
  <c r="V106" i="120"/>
  <c r="V105" i="120"/>
  <c r="V104" i="120"/>
  <c r="V103" i="120"/>
  <c r="V102" i="120"/>
  <c r="V101" i="120"/>
  <c r="V117" i="120"/>
  <c r="U106" i="120"/>
  <c r="T106" i="120"/>
  <c r="S106" i="120"/>
  <c r="U105" i="120"/>
  <c r="T105" i="120"/>
  <c r="S105" i="120"/>
  <c r="U104" i="120"/>
  <c r="T104" i="120"/>
  <c r="S104" i="120"/>
  <c r="U103" i="120"/>
  <c r="T103" i="120"/>
  <c r="S103" i="120"/>
  <c r="U102" i="120"/>
  <c r="T102" i="120"/>
  <c r="S102" i="120"/>
  <c r="U101" i="120"/>
  <c r="T101" i="120"/>
  <c r="S101" i="120"/>
  <c r="U97" i="120"/>
  <c r="T97" i="120"/>
  <c r="S97" i="120"/>
  <c r="U98" i="120"/>
  <c r="T98" i="120"/>
  <c r="S98" i="120"/>
  <c r="U95" i="120"/>
  <c r="T95" i="120"/>
  <c r="S95" i="120"/>
  <c r="U96" i="120"/>
  <c r="T96" i="120"/>
  <c r="S96" i="120"/>
  <c r="U93" i="120"/>
  <c r="T93" i="120"/>
  <c r="S93" i="120"/>
  <c r="U117" i="120"/>
  <c r="T117" i="120"/>
  <c r="S117" i="120"/>
  <c r="Q106" i="120"/>
  <c r="Q105" i="120"/>
  <c r="Q104" i="120"/>
  <c r="Q103" i="120"/>
  <c r="Q102" i="120"/>
  <c r="Q101" i="120"/>
  <c r="Q97" i="120"/>
  <c r="Q98" i="120"/>
  <c r="Q95" i="120"/>
  <c r="Q96" i="120"/>
  <c r="Q93" i="120"/>
  <c r="Q117" i="120"/>
  <c r="P93" i="120"/>
  <c r="P106" i="120"/>
  <c r="P105" i="120"/>
  <c r="P104" i="120"/>
  <c r="P103" i="120"/>
  <c r="P102" i="120"/>
  <c r="P101" i="120"/>
  <c r="P117" i="120"/>
  <c r="O106" i="120"/>
  <c r="O105" i="120"/>
  <c r="O104" i="120"/>
  <c r="O103" i="120"/>
  <c r="O102" i="120"/>
  <c r="O101" i="120"/>
  <c r="O97" i="120"/>
  <c r="O98" i="120"/>
  <c r="O95" i="120"/>
  <c r="O96" i="120"/>
  <c r="O93" i="120"/>
  <c r="O117" i="120"/>
  <c r="N106" i="120"/>
  <c r="N105" i="120"/>
  <c r="N104" i="120"/>
  <c r="N103" i="120"/>
  <c r="N102" i="120"/>
  <c r="N101" i="120"/>
  <c r="N97" i="120"/>
  <c r="N98" i="120"/>
  <c r="N95" i="120"/>
  <c r="N96" i="120"/>
  <c r="N93" i="120"/>
  <c r="N117" i="120"/>
  <c r="M106" i="120"/>
  <c r="M105" i="120"/>
  <c r="M104" i="120"/>
  <c r="M103" i="120"/>
  <c r="M102" i="120"/>
  <c r="M101" i="120"/>
  <c r="M97" i="120"/>
  <c r="M98" i="120"/>
  <c r="M95" i="120"/>
  <c r="M96" i="120"/>
  <c r="M93" i="120"/>
  <c r="M117" i="120"/>
  <c r="L106" i="120"/>
  <c r="L105" i="120"/>
  <c r="L104" i="120"/>
  <c r="L103" i="120"/>
  <c r="L102" i="120"/>
  <c r="L101" i="120"/>
  <c r="L97" i="120"/>
  <c r="L98" i="120"/>
  <c r="L95" i="120"/>
  <c r="L96" i="120"/>
  <c r="L93" i="120"/>
  <c r="L117" i="120"/>
  <c r="K106" i="120"/>
  <c r="K105" i="120"/>
  <c r="K104" i="120"/>
  <c r="K103" i="120"/>
  <c r="K102" i="120"/>
  <c r="K101" i="120"/>
  <c r="K97" i="120"/>
  <c r="K98" i="120"/>
  <c r="K95" i="120"/>
  <c r="K96" i="120"/>
  <c r="K93" i="120"/>
  <c r="K117" i="120"/>
  <c r="A98" i="124"/>
  <c r="A97" i="124"/>
  <c r="A96" i="124"/>
  <c r="A95" i="124"/>
  <c r="A94" i="124"/>
  <c r="A93" i="124"/>
  <c r="A92" i="124"/>
  <c r="A91" i="124"/>
  <c r="G8" i="124"/>
  <c r="G9" i="124"/>
  <c r="J2" i="124"/>
  <c r="K2" i="124"/>
  <c r="G5" i="124"/>
  <c r="G3" i="124"/>
  <c r="G4" i="124"/>
  <c r="H2" i="124" s="1"/>
  <c r="G6" i="124"/>
  <c r="G7" i="124"/>
  <c r="B15" i="124"/>
  <c r="B16" i="124"/>
  <c r="A16" i="124"/>
  <c r="A15" i="124"/>
  <c r="A12" i="124"/>
  <c r="B26" i="124"/>
  <c r="B25" i="124"/>
  <c r="B20" i="124"/>
  <c r="A22" i="124"/>
  <c r="A23" i="124"/>
  <c r="A24" i="124"/>
  <c r="A25" i="124"/>
  <c r="A26" i="124"/>
  <c r="D2" i="124"/>
  <c r="B89" i="124"/>
  <c r="B88" i="124"/>
  <c r="B87" i="124"/>
  <c r="B86" i="124"/>
  <c r="B84" i="124"/>
  <c r="B82" i="124"/>
  <c r="B81" i="124"/>
  <c r="B80" i="124"/>
  <c r="B79" i="124"/>
  <c r="B78" i="124"/>
  <c r="B77" i="124"/>
  <c r="B75" i="124"/>
  <c r="B74" i="124"/>
  <c r="B73" i="124"/>
  <c r="B72" i="124"/>
  <c r="B71" i="124"/>
  <c r="B70" i="124"/>
  <c r="B68" i="124"/>
  <c r="B67" i="124"/>
  <c r="B66" i="124"/>
  <c r="B64" i="124"/>
  <c r="B63" i="124"/>
  <c r="B62" i="124"/>
  <c r="B60" i="124"/>
  <c r="B59" i="124"/>
  <c r="B58" i="124"/>
  <c r="B57" i="124"/>
  <c r="B56" i="124"/>
  <c r="B55" i="124"/>
  <c r="B54" i="124"/>
  <c r="B53" i="124"/>
  <c r="B51" i="124"/>
  <c r="B50" i="124"/>
  <c r="B49" i="124"/>
  <c r="B48" i="124"/>
  <c r="B47" i="124"/>
  <c r="B46" i="124"/>
  <c r="B45" i="124"/>
  <c r="B44" i="124"/>
  <c r="B43" i="124"/>
  <c r="B42" i="124"/>
  <c r="B41" i="124"/>
  <c r="B40" i="124"/>
  <c r="B39" i="124"/>
  <c r="B38" i="124"/>
  <c r="B36" i="124"/>
  <c r="B35" i="124"/>
  <c r="B34" i="124"/>
  <c r="B33" i="124"/>
  <c r="B32" i="124"/>
  <c r="B30" i="124"/>
  <c r="B29" i="124"/>
  <c r="B28" i="124"/>
  <c r="B27" i="124"/>
  <c r="B24" i="124"/>
  <c r="B23" i="124"/>
  <c r="B22" i="124"/>
  <c r="B21" i="124"/>
  <c r="B18" i="124"/>
  <c r="B17" i="124"/>
  <c r="B14" i="124"/>
  <c r="B13" i="124"/>
  <c r="B11" i="124"/>
  <c r="B10" i="124"/>
  <c r="B9" i="124"/>
  <c r="B8" i="124"/>
  <c r="B7" i="124"/>
  <c r="B6" i="124"/>
  <c r="B5" i="124"/>
  <c r="B4" i="124"/>
  <c r="A90" i="124"/>
  <c r="G13" i="124"/>
  <c r="G11" i="124"/>
  <c r="G10" i="124"/>
  <c r="A89" i="124"/>
  <c r="A88" i="124"/>
  <c r="A87" i="124"/>
  <c r="A86" i="124"/>
  <c r="A84" i="124"/>
  <c r="A82" i="124"/>
  <c r="A81" i="124"/>
  <c r="A80" i="124"/>
  <c r="A79" i="124"/>
  <c r="A78" i="124"/>
  <c r="A77" i="124"/>
  <c r="A75" i="124"/>
  <c r="A74" i="124"/>
  <c r="A73" i="124"/>
  <c r="A72" i="124"/>
  <c r="A71" i="124"/>
  <c r="A70" i="124"/>
  <c r="A68" i="124"/>
  <c r="A67" i="124"/>
  <c r="A66" i="124"/>
  <c r="A64" i="124"/>
  <c r="A63" i="124"/>
  <c r="A62" i="124"/>
  <c r="A57" i="124"/>
  <c r="A59" i="124"/>
  <c r="A55" i="124"/>
  <c r="A53" i="124"/>
  <c r="A49" i="124"/>
  <c r="A48" i="124"/>
  <c r="A47" i="124"/>
  <c r="A46" i="124"/>
  <c r="A45" i="124"/>
  <c r="A44" i="124"/>
  <c r="A43" i="124"/>
  <c r="A42" i="124"/>
  <c r="A41" i="124"/>
  <c r="A40" i="124"/>
  <c r="A39" i="124"/>
  <c r="A38" i="124"/>
  <c r="A36" i="124"/>
  <c r="A35" i="124"/>
  <c r="A34" i="124"/>
  <c r="A33" i="124"/>
  <c r="A32" i="124"/>
  <c r="A30" i="124"/>
  <c r="A29" i="124"/>
  <c r="A27" i="124"/>
  <c r="A21" i="124"/>
  <c r="A20" i="124"/>
  <c r="A18" i="124"/>
  <c r="A17" i="124"/>
  <c r="A14" i="124"/>
  <c r="A13" i="124"/>
  <c r="A11" i="124"/>
  <c r="A10" i="124"/>
  <c r="A6" i="124"/>
  <c r="A9" i="124"/>
  <c r="A5" i="124"/>
  <c r="A8" i="124"/>
  <c r="A7" i="124"/>
  <c r="A4" i="124"/>
  <c r="I45" i="122"/>
  <c r="J2" i="122" s="1"/>
  <c r="I23" i="122"/>
  <c r="I12" i="122"/>
  <c r="I7" i="122"/>
  <c r="I8" i="122"/>
  <c r="J18" i="122"/>
  <c r="A27" i="133"/>
  <c r="A28" i="133"/>
  <c r="A29" i="133"/>
  <c r="A30" i="133"/>
  <c r="A31" i="133"/>
  <c r="A32" i="133"/>
  <c r="A33" i="133"/>
  <c r="A34" i="133"/>
  <c r="A35" i="133"/>
  <c r="A36" i="133"/>
  <c r="A37" i="133"/>
  <c r="A38" i="133"/>
  <c r="A39" i="133"/>
  <c r="A40" i="133"/>
  <c r="A41" i="133"/>
  <c r="A42" i="133"/>
  <c r="A43" i="133"/>
  <c r="A44" i="133"/>
  <c r="A45" i="133"/>
  <c r="A46" i="133"/>
  <c r="A47" i="133"/>
  <c r="A48" i="133"/>
  <c r="A49" i="133"/>
  <c r="A50" i="133"/>
  <c r="A51" i="133"/>
  <c r="A52" i="133"/>
  <c r="A53" i="133"/>
  <c r="A54" i="133"/>
  <c r="A55" i="133"/>
  <c r="A56" i="133"/>
  <c r="A57" i="133"/>
  <c r="A58" i="133"/>
  <c r="A59" i="133"/>
  <c r="A60" i="133"/>
  <c r="A61" i="133"/>
  <c r="A62" i="133"/>
  <c r="A63" i="133"/>
  <c r="A64" i="133"/>
  <c r="A65" i="133"/>
  <c r="A66" i="133"/>
  <c r="A67" i="133"/>
  <c r="A68" i="133"/>
  <c r="A69" i="133"/>
  <c r="A70" i="133"/>
  <c r="A71" i="133"/>
  <c r="A72" i="133"/>
  <c r="A73" i="133"/>
  <c r="A74" i="133"/>
  <c r="A75" i="133"/>
  <c r="A76" i="133"/>
  <c r="A77" i="133"/>
  <c r="A78" i="133"/>
  <c r="A79" i="133"/>
  <c r="A80" i="133"/>
  <c r="A81" i="133"/>
  <c r="A82" i="133"/>
  <c r="A83" i="133"/>
  <c r="A84" i="133"/>
  <c r="A85" i="133"/>
  <c r="A86" i="133"/>
  <c r="A87" i="133"/>
  <c r="A88" i="133"/>
  <c r="A89" i="133"/>
  <c r="A90" i="133"/>
  <c r="A91" i="133"/>
  <c r="A92" i="133"/>
  <c r="A93" i="133"/>
  <c r="A94" i="133"/>
  <c r="A95" i="133"/>
  <c r="A96" i="133"/>
  <c r="A97" i="133"/>
  <c r="A98" i="133"/>
  <c r="A99" i="133"/>
  <c r="A100" i="133"/>
  <c r="A101" i="133"/>
  <c r="A102" i="133"/>
  <c r="A103" i="133"/>
  <c r="A104" i="133"/>
  <c r="A105" i="133"/>
  <c r="A106" i="133"/>
  <c r="A107" i="133"/>
  <c r="A108" i="133"/>
  <c r="A6" i="133"/>
  <c r="A7" i="133"/>
  <c r="A8" i="133"/>
  <c r="A9" i="133"/>
  <c r="A10" i="133"/>
  <c r="A11" i="133"/>
  <c r="A12" i="133"/>
  <c r="A13" i="133"/>
  <c r="A14" i="133"/>
  <c r="A16" i="133"/>
  <c r="A17" i="133"/>
  <c r="A20" i="133"/>
  <c r="A21" i="133"/>
  <c r="A22" i="133"/>
  <c r="A23" i="133"/>
  <c r="A24" i="133"/>
  <c r="A25" i="133"/>
  <c r="A26" i="133"/>
  <c r="A5" i="133"/>
  <c r="B86" i="122"/>
  <c r="B84" i="122"/>
  <c r="B77" i="122"/>
  <c r="B70" i="122"/>
  <c r="B66" i="122"/>
  <c r="B62" i="122"/>
  <c r="B59" i="122"/>
  <c r="B57" i="122"/>
  <c r="B55" i="122"/>
  <c r="B53" i="122"/>
  <c r="B48" i="122"/>
  <c r="B47" i="122"/>
  <c r="B46" i="122"/>
  <c r="B45" i="122"/>
  <c r="B42" i="122"/>
  <c r="B38" i="122"/>
  <c r="B32" i="122"/>
  <c r="B20" i="122"/>
  <c r="B17" i="122"/>
  <c r="B14" i="122"/>
  <c r="B13" i="122"/>
  <c r="B10" i="122"/>
  <c r="B4" i="122"/>
  <c r="D62" i="122"/>
  <c r="D89" i="122"/>
  <c r="D88" i="122"/>
  <c r="D87" i="122"/>
  <c r="D86" i="122"/>
  <c r="E86" i="122" s="1"/>
  <c r="D84" i="122"/>
  <c r="D82" i="122"/>
  <c r="D81" i="122"/>
  <c r="D80" i="122"/>
  <c r="D78" i="122"/>
  <c r="D77" i="122"/>
  <c r="D75" i="122"/>
  <c r="D74" i="122"/>
  <c r="D73" i="122"/>
  <c r="E74" i="122" s="1"/>
  <c r="D72" i="122"/>
  <c r="D71" i="122"/>
  <c r="D70" i="122"/>
  <c r="D68" i="122"/>
  <c r="D67" i="122"/>
  <c r="E67" i="122" s="1"/>
  <c r="D66" i="122"/>
  <c r="D64" i="122"/>
  <c r="D63" i="122"/>
  <c r="D53" i="122"/>
  <c r="D60" i="122"/>
  <c r="D59" i="122"/>
  <c r="D58" i="122"/>
  <c r="D57" i="122"/>
  <c r="D56" i="122"/>
  <c r="D55" i="122"/>
  <c r="D54" i="122"/>
  <c r="D38" i="122"/>
  <c r="D51" i="122"/>
  <c r="D50" i="122"/>
  <c r="D49" i="122"/>
  <c r="D48" i="122"/>
  <c r="D47" i="122"/>
  <c r="D46" i="122"/>
  <c r="D45" i="122"/>
  <c r="D44" i="122"/>
  <c r="D43" i="122"/>
  <c r="D42" i="122"/>
  <c r="D41" i="122"/>
  <c r="D40" i="122"/>
  <c r="D39" i="122"/>
  <c r="E39" i="122" s="1"/>
  <c r="D32" i="122"/>
  <c r="D36" i="122"/>
  <c r="D35" i="122"/>
  <c r="D34" i="122"/>
  <c r="D33" i="122"/>
  <c r="E33" i="122" s="1"/>
  <c r="D20" i="122"/>
  <c r="D30" i="122"/>
  <c r="D29" i="122"/>
  <c r="D28" i="122"/>
  <c r="D27" i="122"/>
  <c r="D26" i="122"/>
  <c r="D25" i="122"/>
  <c r="D24" i="122"/>
  <c r="D23" i="122"/>
  <c r="D22" i="122"/>
  <c r="E22" i="122" s="1"/>
  <c r="D21" i="122"/>
  <c r="D13" i="122"/>
  <c r="D17" i="122"/>
  <c r="D16" i="122"/>
  <c r="E16" i="122" s="1"/>
  <c r="D15" i="122"/>
  <c r="D14" i="122"/>
  <c r="D4" i="122"/>
  <c r="D11" i="122"/>
  <c r="D10" i="122"/>
  <c r="E15" i="122" s="1"/>
  <c r="D9" i="122"/>
  <c r="D8" i="122"/>
  <c r="D7" i="122"/>
  <c r="D6" i="122"/>
  <c r="D5" i="122"/>
  <c r="E5" i="122" s="1"/>
  <c r="J3" i="122"/>
  <c r="J87" i="122"/>
  <c r="J86" i="122"/>
  <c r="J85" i="122"/>
  <c r="J84" i="122"/>
  <c r="J83" i="122"/>
  <c r="J82" i="122"/>
  <c r="J81" i="122"/>
  <c r="J80" i="122"/>
  <c r="J79" i="122"/>
  <c r="J78" i="122"/>
  <c r="J77" i="122"/>
  <c r="J76" i="122"/>
  <c r="J75" i="122"/>
  <c r="J74" i="122"/>
  <c r="J73" i="122"/>
  <c r="J72" i="122"/>
  <c r="J71" i="122"/>
  <c r="J70" i="122"/>
  <c r="J69" i="122"/>
  <c r="J68" i="122"/>
  <c r="J67" i="122"/>
  <c r="J66" i="122"/>
  <c r="J65" i="122"/>
  <c r="J64" i="122"/>
  <c r="J63" i="122"/>
  <c r="J62" i="122"/>
  <c r="J61" i="122"/>
  <c r="J60" i="122"/>
  <c r="J59" i="122"/>
  <c r="J58" i="122"/>
  <c r="J57" i="122"/>
  <c r="J56" i="122"/>
  <c r="J55" i="122"/>
  <c r="J54" i="122"/>
  <c r="J53" i="122"/>
  <c r="J52" i="122"/>
  <c r="J51" i="122"/>
  <c r="J50" i="122"/>
  <c r="J49" i="122"/>
  <c r="J48" i="122"/>
  <c r="J47" i="122"/>
  <c r="J46" i="122"/>
  <c r="J45" i="122"/>
  <c r="J44" i="122"/>
  <c r="J43" i="122"/>
  <c r="J42" i="122"/>
  <c r="J41" i="122"/>
  <c r="J40" i="122"/>
  <c r="J39" i="122"/>
  <c r="J38" i="122"/>
  <c r="J37" i="122"/>
  <c r="J36" i="122"/>
  <c r="J35" i="122"/>
  <c r="J34" i="122"/>
  <c r="J33" i="122"/>
  <c r="J32" i="122"/>
  <c r="J31" i="122"/>
  <c r="J30" i="122"/>
  <c r="J29" i="122"/>
  <c r="J28" i="122"/>
  <c r="J27" i="122"/>
  <c r="J26" i="122"/>
  <c r="J25" i="122"/>
  <c r="J24" i="122"/>
  <c r="J23" i="122"/>
  <c r="J22" i="122"/>
  <c r="J21" i="122"/>
  <c r="J20" i="122"/>
  <c r="J19" i="122"/>
  <c r="J17" i="122"/>
  <c r="J16" i="122"/>
  <c r="J15" i="122"/>
  <c r="J14" i="122"/>
  <c r="J13" i="122"/>
  <c r="J12" i="122"/>
  <c r="J11" i="122"/>
  <c r="J10" i="122"/>
  <c r="J9" i="122"/>
  <c r="J8" i="122"/>
  <c r="J6" i="122"/>
  <c r="J5" i="122"/>
  <c r="J4" i="122"/>
  <c r="F89" i="122"/>
  <c r="F88" i="122"/>
  <c r="E88" i="122" s="1"/>
  <c r="F87" i="122"/>
  <c r="F86" i="122"/>
  <c r="F84" i="122"/>
  <c r="F82" i="122"/>
  <c r="F81" i="122"/>
  <c r="F80" i="122"/>
  <c r="F79" i="122"/>
  <c r="F78" i="122"/>
  <c r="F77" i="122"/>
  <c r="F75" i="122"/>
  <c r="G75" i="122" s="1"/>
  <c r="F74" i="122"/>
  <c r="F73" i="122"/>
  <c r="F72" i="122"/>
  <c r="F71" i="122"/>
  <c r="F70" i="122"/>
  <c r="G72" i="122" s="1"/>
  <c r="F68" i="122"/>
  <c r="F67" i="122"/>
  <c r="F66" i="122"/>
  <c r="F64" i="122"/>
  <c r="F62" i="122"/>
  <c r="F60" i="122"/>
  <c r="F59" i="122"/>
  <c r="F58" i="122"/>
  <c r="G58" i="122" s="1"/>
  <c r="F57" i="122"/>
  <c r="F56" i="122"/>
  <c r="F55" i="122"/>
  <c r="F54" i="122"/>
  <c r="F53" i="122"/>
  <c r="F51" i="122"/>
  <c r="F50" i="122"/>
  <c r="F49" i="122"/>
  <c r="F48" i="122"/>
  <c r="F47" i="122"/>
  <c r="F46" i="122"/>
  <c r="F45" i="122"/>
  <c r="F44" i="122"/>
  <c r="F43" i="122"/>
  <c r="F42" i="122"/>
  <c r="G42" i="122" s="1"/>
  <c r="F41" i="122"/>
  <c r="F40" i="122"/>
  <c r="F39" i="122"/>
  <c r="F38" i="122"/>
  <c r="F36" i="122"/>
  <c r="F35" i="122"/>
  <c r="G35" i="122" s="1"/>
  <c r="F34" i="122"/>
  <c r="F33" i="122"/>
  <c r="F32" i="122"/>
  <c r="F30" i="122"/>
  <c r="F29" i="122"/>
  <c r="F28" i="122"/>
  <c r="F27" i="122"/>
  <c r="F26" i="122"/>
  <c r="F25" i="122"/>
  <c r="F24" i="122"/>
  <c r="G24" i="122" s="1"/>
  <c r="F23" i="122"/>
  <c r="F22" i="122"/>
  <c r="F21" i="122"/>
  <c r="F20" i="122"/>
  <c r="F18" i="122"/>
  <c r="F17" i="122"/>
  <c r="F16" i="122"/>
  <c r="F15" i="122"/>
  <c r="F14" i="122"/>
  <c r="F13" i="122"/>
  <c r="G13" i="122" s="1"/>
  <c r="F11" i="122"/>
  <c r="F10" i="122"/>
  <c r="F9" i="122"/>
  <c r="F8" i="122"/>
  <c r="F7" i="122"/>
  <c r="G7" i="122" s="1"/>
  <c r="F6" i="122"/>
  <c r="F5" i="122"/>
  <c r="F4" i="122"/>
  <c r="I87" i="122"/>
  <c r="I84" i="122"/>
  <c r="I85" i="122"/>
  <c r="I86" i="122"/>
  <c r="I13" i="122"/>
  <c r="G14" i="122"/>
  <c r="G15" i="122"/>
  <c r="G16" i="122"/>
  <c r="C15" i="122"/>
  <c r="C16" i="122"/>
  <c r="A18" i="122"/>
  <c r="A17" i="122"/>
  <c r="A16" i="122"/>
  <c r="A15" i="122"/>
  <c r="A14" i="122"/>
  <c r="A13" i="122"/>
  <c r="A12" i="122"/>
  <c r="I10" i="122"/>
  <c r="I9" i="122"/>
  <c r="I44" i="122"/>
  <c r="I22" i="122"/>
  <c r="I42" i="122"/>
  <c r="I21" i="122"/>
  <c r="I15" i="122"/>
  <c r="I14" i="122"/>
  <c r="I43" i="122"/>
  <c r="I17" i="122"/>
  <c r="I16" i="122"/>
  <c r="I83" i="122"/>
  <c r="C84" i="122"/>
  <c r="A84" i="122"/>
  <c r="C82" i="122"/>
  <c r="A82" i="122"/>
  <c r="C81" i="122"/>
  <c r="A81" i="122"/>
  <c r="C80" i="122"/>
  <c r="A80" i="122"/>
  <c r="C79" i="122"/>
  <c r="A79" i="122"/>
  <c r="C78" i="122"/>
  <c r="A78" i="122"/>
  <c r="C77" i="122"/>
  <c r="A77" i="122"/>
  <c r="C75" i="122"/>
  <c r="A75" i="122"/>
  <c r="C74" i="122"/>
  <c r="A74" i="122"/>
  <c r="C73" i="122"/>
  <c r="A73" i="122"/>
  <c r="C72" i="122"/>
  <c r="A72" i="122"/>
  <c r="C71" i="122"/>
  <c r="A71" i="122"/>
  <c r="C70" i="122"/>
  <c r="A70" i="122"/>
  <c r="C68" i="122"/>
  <c r="A68" i="122"/>
  <c r="C67" i="122"/>
  <c r="A67" i="122"/>
  <c r="C66" i="122"/>
  <c r="A66" i="122"/>
  <c r="C64" i="122"/>
  <c r="A64" i="122"/>
  <c r="C63" i="122"/>
  <c r="A63" i="122"/>
  <c r="E62" i="122"/>
  <c r="C62" i="122"/>
  <c r="A62" i="122"/>
  <c r="C60" i="122"/>
  <c r="C59" i="122"/>
  <c r="A59" i="122"/>
  <c r="C58" i="122"/>
  <c r="C57" i="122"/>
  <c r="A57" i="122"/>
  <c r="C56" i="122"/>
  <c r="C55" i="122"/>
  <c r="A55" i="122"/>
  <c r="C54" i="122"/>
  <c r="C53" i="122"/>
  <c r="A53" i="122"/>
  <c r="C51" i="122"/>
  <c r="A51" i="122"/>
  <c r="C50" i="122"/>
  <c r="A50" i="122"/>
  <c r="C49" i="122"/>
  <c r="A49" i="122"/>
  <c r="C48" i="122"/>
  <c r="A48" i="122"/>
  <c r="C47" i="122"/>
  <c r="A47" i="122"/>
  <c r="C46" i="122"/>
  <c r="A46" i="122"/>
  <c r="C45" i="122"/>
  <c r="A45" i="122"/>
  <c r="C44" i="122"/>
  <c r="A44" i="122"/>
  <c r="C43" i="122"/>
  <c r="A43" i="122"/>
  <c r="C42" i="122"/>
  <c r="A42" i="122"/>
  <c r="C41" i="122"/>
  <c r="A41" i="122"/>
  <c r="C40" i="122"/>
  <c r="A40" i="122"/>
  <c r="C39" i="122"/>
  <c r="A39" i="122"/>
  <c r="C38" i="122"/>
  <c r="A38" i="122"/>
  <c r="C36" i="122"/>
  <c r="A36" i="122"/>
  <c r="C35" i="122"/>
  <c r="A35" i="122"/>
  <c r="C34" i="122"/>
  <c r="A34" i="122"/>
  <c r="C33" i="122"/>
  <c r="A33" i="122"/>
  <c r="C32" i="122"/>
  <c r="A32" i="122"/>
  <c r="C30" i="122"/>
  <c r="A30" i="122"/>
  <c r="C29" i="122"/>
  <c r="A29" i="122"/>
  <c r="C28" i="122"/>
  <c r="A28" i="122"/>
  <c r="C27" i="122"/>
  <c r="A27" i="122"/>
  <c r="C26" i="122"/>
  <c r="A26" i="122"/>
  <c r="C25" i="122"/>
  <c r="A25" i="122"/>
  <c r="C24" i="122"/>
  <c r="A24" i="122"/>
  <c r="C23" i="122"/>
  <c r="A23" i="122"/>
  <c r="C22" i="122"/>
  <c r="A22" i="122"/>
  <c r="C21" i="122"/>
  <c r="A21" i="122"/>
  <c r="C20" i="122"/>
  <c r="A20" i="122"/>
  <c r="C18" i="122"/>
  <c r="C17" i="122"/>
  <c r="C14" i="122"/>
  <c r="C13" i="122"/>
  <c r="C11" i="122"/>
  <c r="A11" i="122"/>
  <c r="C10" i="122"/>
  <c r="A10" i="122"/>
  <c r="C9" i="122"/>
  <c r="A9" i="122"/>
  <c r="C8" i="122"/>
  <c r="A8" i="122"/>
  <c r="C7" i="122"/>
  <c r="A7" i="122"/>
  <c r="C6" i="122"/>
  <c r="A6" i="122"/>
  <c r="C5" i="122"/>
  <c r="A5" i="122"/>
  <c r="C4" i="122"/>
  <c r="A4" i="122"/>
  <c r="A90" i="122"/>
  <c r="C89" i="122"/>
  <c r="A89" i="122"/>
  <c r="C88" i="122"/>
  <c r="A88" i="122"/>
  <c r="C87" i="122"/>
  <c r="A87" i="122"/>
  <c r="C86" i="122"/>
  <c r="A86" i="122"/>
  <c r="E25" i="122"/>
  <c r="G25" i="122"/>
  <c r="I56" i="122"/>
  <c r="I61" i="122"/>
  <c r="I64" i="122"/>
  <c r="I62" i="122"/>
  <c r="I63" i="122"/>
  <c r="I3" i="122"/>
  <c r="I4" i="122"/>
  <c r="E89" i="122"/>
  <c r="E87" i="122"/>
  <c r="E84" i="122"/>
  <c r="E75" i="122"/>
  <c r="E70" i="122"/>
  <c r="E66" i="122"/>
  <c r="E64" i="122"/>
  <c r="E63" i="122"/>
  <c r="E60" i="122"/>
  <c r="E58" i="122"/>
  <c r="E56" i="122"/>
  <c r="E54" i="122"/>
  <c r="E43" i="122"/>
  <c r="E42" i="122"/>
  <c r="E40" i="122"/>
  <c r="E38" i="122"/>
  <c r="E36" i="122"/>
  <c r="E35" i="122"/>
  <c r="E34" i="122"/>
  <c r="E32" i="122"/>
  <c r="E26" i="122"/>
  <c r="E24" i="122"/>
  <c r="E23" i="122"/>
  <c r="E21" i="122"/>
  <c r="E20" i="122"/>
  <c r="E17" i="122"/>
  <c r="E9" i="122"/>
  <c r="E8" i="122"/>
  <c r="E7" i="122"/>
  <c r="E6" i="122"/>
  <c r="E4" i="122"/>
  <c r="I5" i="122"/>
  <c r="I50" i="122"/>
  <c r="I51" i="122"/>
  <c r="I52" i="122"/>
  <c r="I53" i="122"/>
  <c r="I54" i="122"/>
  <c r="I55" i="122"/>
  <c r="I57" i="122"/>
  <c r="I58" i="122"/>
  <c r="I59" i="122"/>
  <c r="I60" i="122"/>
  <c r="I65" i="122"/>
  <c r="I66" i="122"/>
  <c r="I67" i="122"/>
  <c r="I68" i="122"/>
  <c r="I69" i="122"/>
  <c r="I70" i="122"/>
  <c r="I71" i="122"/>
  <c r="I72" i="122"/>
  <c r="I73" i="122"/>
  <c r="I74" i="122"/>
  <c r="I75" i="122"/>
  <c r="I76" i="122"/>
  <c r="I77" i="122"/>
  <c r="I78" i="122"/>
  <c r="I79" i="122"/>
  <c r="I80" i="122"/>
  <c r="I81" i="122"/>
  <c r="I82" i="122"/>
  <c r="I46" i="122"/>
  <c r="I47" i="122"/>
  <c r="I48" i="122"/>
  <c r="I49" i="122"/>
  <c r="I11" i="122"/>
  <c r="I18" i="122"/>
  <c r="I19" i="122"/>
  <c r="I20" i="122"/>
  <c r="I24" i="122"/>
  <c r="I25" i="122"/>
  <c r="I26" i="122"/>
  <c r="I27" i="122"/>
  <c r="I28" i="122"/>
  <c r="I29" i="122"/>
  <c r="I30" i="122"/>
  <c r="I31" i="122"/>
  <c r="I32" i="122"/>
  <c r="I33" i="122"/>
  <c r="I34" i="122"/>
  <c r="I35" i="122"/>
  <c r="I36" i="122"/>
  <c r="I37" i="122"/>
  <c r="I38" i="122"/>
  <c r="I39" i="122"/>
  <c r="I40" i="122"/>
  <c r="I41" i="122"/>
  <c r="I6" i="122"/>
  <c r="L6" i="122"/>
  <c r="L5" i="122"/>
  <c r="L4" i="122"/>
  <c r="L3" i="122"/>
  <c r="G73" i="122"/>
  <c r="G54" i="122"/>
  <c r="G64" i="122"/>
  <c r="G60" i="122"/>
  <c r="G56" i="122"/>
  <c r="G67" i="122"/>
  <c r="G66" i="122"/>
  <c r="G4" i="122"/>
  <c r="G8" i="122"/>
  <c r="G5" i="122"/>
  <c r="G9" i="122"/>
  <c r="G6" i="122"/>
  <c r="G20" i="122"/>
  <c r="G21" i="122"/>
  <c r="G22" i="122"/>
  <c r="G23" i="122"/>
  <c r="G26" i="122"/>
  <c r="G32" i="122"/>
  <c r="G33" i="122"/>
  <c r="G34" i="122"/>
  <c r="G36" i="122"/>
  <c r="G38" i="122"/>
  <c r="G39" i="122"/>
  <c r="G40" i="122"/>
  <c r="G43" i="122"/>
  <c r="D86" i="124"/>
  <c r="D73" i="124"/>
  <c r="D67" i="124"/>
  <c r="D60" i="124"/>
  <c r="D55" i="124"/>
  <c r="D49" i="124"/>
  <c r="D44" i="124"/>
  <c r="D39" i="124"/>
  <c r="D33" i="124"/>
  <c r="D27" i="124"/>
  <c r="D22" i="124"/>
  <c r="D18" i="124"/>
  <c r="D10" i="124"/>
  <c r="D5" i="124"/>
  <c r="D17" i="124"/>
  <c r="D9" i="124"/>
  <c r="D4" i="124"/>
  <c r="D87" i="124"/>
  <c r="AR107" i="120" l="1"/>
  <c r="AO107" i="120"/>
  <c r="AK107" i="120"/>
  <c r="X107" i="120"/>
  <c r="W107" i="120"/>
  <c r="D2" i="122"/>
  <c r="D1" i="122"/>
  <c r="C1" i="124" s="1"/>
  <c r="K107" i="120"/>
  <c r="BF107" i="120"/>
  <c r="AS107" i="120"/>
  <c r="AQ107" i="120"/>
  <c r="AN107" i="120"/>
  <c r="AM107" i="120"/>
  <c r="AL107" i="120"/>
  <c r="AH107" i="120"/>
  <c r="AB107" i="120"/>
  <c r="AG107" i="120"/>
  <c r="AE107" i="120"/>
  <c r="AC107" i="120"/>
  <c r="Y107" i="120"/>
  <c r="C2" i="124"/>
  <c r="E2" i="124" s="1"/>
  <c r="AJ53" i="120"/>
  <c r="AJ107" i="120" s="1"/>
  <c r="BY107" i="120"/>
  <c r="AI107" i="120"/>
  <c r="I14" i="125"/>
  <c r="I107" i="125" s="1"/>
  <c r="BH107" i="125"/>
  <c r="AR107" i="125"/>
  <c r="X52" i="125"/>
  <c r="X53" i="125" s="1"/>
  <c r="BI53" i="125"/>
  <c r="W107" i="125"/>
  <c r="U14" i="125"/>
  <c r="U107" i="125" s="1"/>
  <c r="BC107" i="125"/>
  <c r="O107" i="125"/>
  <c r="M107" i="125"/>
  <c r="V51" i="127"/>
  <c r="V54" i="127"/>
  <c r="X93" i="127"/>
  <c r="X65" i="127"/>
  <c r="X30" i="127"/>
  <c r="AN52" i="131"/>
  <c r="CJ53" i="131"/>
  <c r="AN53" i="131" s="1"/>
  <c r="E71" i="122"/>
  <c r="E14" i="122"/>
  <c r="G70" i="122"/>
  <c r="E72" i="122"/>
  <c r="CL66" i="120"/>
  <c r="F63" i="122" s="1"/>
  <c r="G63" i="122" s="1"/>
  <c r="BW107" i="120"/>
  <c r="BB107" i="120"/>
  <c r="V54" i="120"/>
  <c r="V44" i="120"/>
  <c r="S52" i="120"/>
  <c r="S107" i="120" s="1"/>
  <c r="R14" i="120"/>
  <c r="P71" i="120"/>
  <c r="P107" i="120" s="1"/>
  <c r="AN127" i="120"/>
  <c r="Z82" i="120"/>
  <c r="Z107" i="120" s="1"/>
  <c r="H14" i="125"/>
  <c r="CK107" i="125"/>
  <c r="BT107" i="125"/>
  <c r="BN107" i="125"/>
  <c r="BI107" i="125"/>
  <c r="AS82" i="125"/>
  <c r="AS107" i="125" s="1"/>
  <c r="AP66" i="125"/>
  <c r="I66" i="125"/>
  <c r="AJ107" i="125"/>
  <c r="AC52" i="125"/>
  <c r="BX53" i="125"/>
  <c r="AB14" i="125"/>
  <c r="AB107" i="125" s="1"/>
  <c r="BP107" i="125"/>
  <c r="AA82" i="125"/>
  <c r="AA52" i="125"/>
  <c r="AA53" i="125" s="1"/>
  <c r="BQ53" i="125"/>
  <c r="Z107" i="125"/>
  <c r="T21" i="125"/>
  <c r="T107" i="125" s="1"/>
  <c r="S52" i="125"/>
  <c r="AV53" i="125"/>
  <c r="N71" i="125"/>
  <c r="N21" i="125"/>
  <c r="G74" i="122"/>
  <c r="E73" i="122"/>
  <c r="F107" i="120"/>
  <c r="I66" i="120"/>
  <c r="H107" i="120"/>
  <c r="CK107" i="120"/>
  <c r="CE107" i="120"/>
  <c r="BZ107" i="120"/>
  <c r="BS53" i="120"/>
  <c r="BS107" i="120" s="1"/>
  <c r="BH53" i="120"/>
  <c r="BH107" i="120" s="1"/>
  <c r="AW107" i="120"/>
  <c r="AA44" i="120"/>
  <c r="AA107" i="120" s="1"/>
  <c r="V107" i="120"/>
  <c r="O107" i="120"/>
  <c r="I65" i="120"/>
  <c r="K107" i="125"/>
  <c r="G14" i="125"/>
  <c r="G107" i="125"/>
  <c r="AM52" i="125"/>
  <c r="AM107" i="125" s="1"/>
  <c r="CH53" i="125"/>
  <c r="AM53" i="125" s="1"/>
  <c r="AD107" i="125"/>
  <c r="X66" i="125"/>
  <c r="G66" i="125"/>
  <c r="R107" i="125"/>
  <c r="H65" i="125"/>
  <c r="H107" i="125" s="1"/>
  <c r="AI65" i="125"/>
  <c r="AI107" i="125" s="1"/>
  <c r="G71" i="122"/>
  <c r="E13" i="122"/>
  <c r="G66" i="120"/>
  <c r="CC107" i="120"/>
  <c r="CD53" i="120"/>
  <c r="BU53" i="120"/>
  <c r="AD53" i="120" s="1"/>
  <c r="AD107" i="120" s="1"/>
  <c r="Q107" i="120"/>
  <c r="N107" i="120"/>
  <c r="L107" i="120"/>
  <c r="AI127" i="120"/>
  <c r="U82" i="120"/>
  <c r="U107" i="120" s="1"/>
  <c r="AF82" i="120"/>
  <c r="AF107" i="120" s="1"/>
  <c r="H65" i="120"/>
  <c r="F14" i="125"/>
  <c r="F107" i="125" s="1"/>
  <c r="CJ107" i="125"/>
  <c r="CH107" i="125"/>
  <c r="CD107" i="125"/>
  <c r="CB107" i="125"/>
  <c r="BU107" i="125"/>
  <c r="BS107" i="125"/>
  <c r="BQ107" i="125"/>
  <c r="BJ107" i="125"/>
  <c r="AP52" i="125"/>
  <c r="AP107" i="125" s="1"/>
  <c r="CD53" i="125"/>
  <c r="AP53" i="125" s="1"/>
  <c r="AL14" i="125"/>
  <c r="AL107" i="125" s="1"/>
  <c r="CE107" i="125"/>
  <c r="AH52" i="125"/>
  <c r="AH107" i="125" s="1"/>
  <c r="BZ53" i="125"/>
  <c r="AH53" i="125" s="1"/>
  <c r="AG14" i="125"/>
  <c r="BV107" i="125"/>
  <c r="AG107" i="125"/>
  <c r="AA30" i="125"/>
  <c r="AA107" i="125" s="1"/>
  <c r="AA50" i="125"/>
  <c r="Y53" i="125"/>
  <c r="V107" i="125"/>
  <c r="T30" i="125"/>
  <c r="BB107" i="125"/>
  <c r="P30" i="125"/>
  <c r="P107" i="125"/>
  <c r="N30" i="125"/>
  <c r="N107" i="125" s="1"/>
  <c r="AW107" i="125"/>
  <c r="G65" i="127"/>
  <c r="I107" i="120"/>
  <c r="BV107" i="120"/>
  <c r="M107" i="120"/>
  <c r="AS127" i="120"/>
  <c r="G82" i="120"/>
  <c r="G65" i="120"/>
  <c r="G107" i="120" s="1"/>
  <c r="V65" i="120"/>
  <c r="CI107" i="125"/>
  <c r="CG107" i="125"/>
  <c r="CC107" i="125"/>
  <c r="BY107" i="125"/>
  <c r="BW107" i="125"/>
  <c r="AX107" i="125"/>
  <c r="AQ71" i="125"/>
  <c r="AQ107" i="125" s="1"/>
  <c r="AO107" i="125"/>
  <c r="AE53" i="125"/>
  <c r="AE107" i="125" s="1"/>
  <c r="AC66" i="125"/>
  <c r="H66" i="125"/>
  <c r="Y107" i="125"/>
  <c r="X82" i="125"/>
  <c r="S66" i="125"/>
  <c r="F66" i="125"/>
  <c r="CL66" i="125"/>
  <c r="CL107" i="125" s="1"/>
  <c r="L52" i="125"/>
  <c r="AY53" i="125"/>
  <c r="F65" i="125"/>
  <c r="Q65" i="125"/>
  <c r="Q107" i="125" s="1"/>
  <c r="BY31" i="127"/>
  <c r="AJ31" i="127" s="1"/>
  <c r="AJ24" i="127"/>
  <c r="P50" i="125"/>
  <c r="P32" i="127"/>
  <c r="P33" i="127" s="1"/>
  <c r="Y14" i="127"/>
  <c r="AE82" i="127"/>
  <c r="AE32" i="127"/>
  <c r="AE33" i="127" s="1"/>
  <c r="AE31" i="127"/>
  <c r="AE30" i="127"/>
  <c r="AQ52" i="127"/>
  <c r="AS14" i="127"/>
  <c r="AL21" i="127"/>
  <c r="BA53" i="127"/>
  <c r="P52" i="127"/>
  <c r="P53" i="127" s="1"/>
  <c r="AD66" i="127"/>
  <c r="H66" i="127"/>
  <c r="F65" i="127"/>
  <c r="CL65" i="127"/>
  <c r="BI53" i="127"/>
  <c r="X52" i="127"/>
  <c r="X53" i="127" s="1"/>
  <c r="CG31" i="127"/>
  <c r="AS24" i="127"/>
  <c r="AS32" i="130"/>
  <c r="AS33" i="130" s="1"/>
  <c r="AS31" i="130"/>
  <c r="AS30" i="130"/>
  <c r="R32" i="120"/>
  <c r="R33" i="120" s="1"/>
  <c r="AM52" i="127"/>
  <c r="K65" i="127"/>
  <c r="AV53" i="127"/>
  <c r="S53" i="127" s="1"/>
  <c r="S52" i="127"/>
  <c r="BS53" i="127"/>
  <c r="AE52" i="127"/>
  <c r="AE53" i="127" s="1"/>
  <c r="AX31" i="127"/>
  <c r="R31" i="127" s="1"/>
  <c r="R24" i="127"/>
  <c r="CD31" i="127"/>
  <c r="AP31" i="127" s="1"/>
  <c r="AP24" i="127"/>
  <c r="I65" i="127"/>
  <c r="X32" i="127"/>
  <c r="X33" i="127" s="1"/>
  <c r="X31" i="127"/>
  <c r="AE21" i="127"/>
  <c r="CC53" i="127"/>
  <c r="AO53" i="127" s="1"/>
  <c r="AO52" i="127"/>
  <c r="AS44" i="127"/>
  <c r="X66" i="127"/>
  <c r="CL66" i="127"/>
  <c r="AS66" i="127"/>
  <c r="I66" i="127"/>
  <c r="H65" i="127"/>
  <c r="V32" i="130"/>
  <c r="V33" i="130" s="1"/>
  <c r="V31" i="130"/>
  <c r="V30" i="130"/>
  <c r="CK53" i="130"/>
  <c r="AQ53" i="130" s="1"/>
  <c r="AQ52" i="130"/>
  <c r="BC53" i="130"/>
  <c r="U53" i="130" s="1"/>
  <c r="U52" i="130"/>
  <c r="BP53" i="130"/>
  <c r="AB53" i="130" s="1"/>
  <c r="AB52" i="130"/>
  <c r="CC31" i="130"/>
  <c r="AO31" i="130" s="1"/>
  <c r="AO24" i="130"/>
  <c r="X32" i="131"/>
  <c r="X33" i="131" s="1"/>
  <c r="X31" i="131"/>
  <c r="X30" i="131"/>
  <c r="AS31" i="127"/>
  <c r="X32" i="130"/>
  <c r="X33" i="130" s="1"/>
  <c r="X31" i="130"/>
  <c r="AA82" i="130"/>
  <c r="O21" i="130"/>
  <c r="X93" i="130"/>
  <c r="X65" i="130"/>
  <c r="BZ53" i="130"/>
  <c r="AH53" i="130" s="1"/>
  <c r="AH52" i="130"/>
  <c r="CJ53" i="130"/>
  <c r="AN53" i="130" s="1"/>
  <c r="AN52" i="130"/>
  <c r="AT53" i="130"/>
  <c r="R52" i="130"/>
  <c r="R53" i="130" s="1"/>
  <c r="CL66" i="130"/>
  <c r="AD66" i="130"/>
  <c r="H66" i="130"/>
  <c r="AH21" i="131"/>
  <c r="CG53" i="131"/>
  <c r="AS52" i="131"/>
  <c r="AS53" i="131" s="1"/>
  <c r="BK53" i="130"/>
  <c r="Y52" i="130"/>
  <c r="Y53" i="130" s="1"/>
  <c r="V51" i="132"/>
  <c r="V54" i="132"/>
  <c r="AA32" i="130"/>
  <c r="AA33" i="130" s="1"/>
  <c r="AA31" i="130"/>
  <c r="AJ21" i="130"/>
  <c r="BU53" i="130"/>
  <c r="AD53" i="130" s="1"/>
  <c r="AD52" i="130"/>
  <c r="CE53" i="130"/>
  <c r="AL53" i="130" s="1"/>
  <c r="AL52" i="130"/>
  <c r="G65" i="130"/>
  <c r="AC21" i="131"/>
  <c r="M52" i="131"/>
  <c r="BD53" i="131"/>
  <c r="M53" i="131" s="1"/>
  <c r="BL53" i="131"/>
  <c r="Y52" i="131"/>
  <c r="Y53" i="131" s="1"/>
  <c r="Z21" i="130"/>
  <c r="R32" i="130"/>
  <c r="R33" i="130" s="1"/>
  <c r="R31" i="130"/>
  <c r="P65" i="130"/>
  <c r="Z65" i="130"/>
  <c r="AO65" i="130"/>
  <c r="CK31" i="130"/>
  <c r="AQ31" i="130" s="1"/>
  <c r="AQ24" i="130"/>
  <c r="X44" i="130"/>
  <c r="I66" i="130"/>
  <c r="F65" i="130"/>
  <c r="CL65" i="130"/>
  <c r="H65" i="130"/>
  <c r="Y14" i="131"/>
  <c r="AA32" i="131"/>
  <c r="AA33" i="131" s="1"/>
  <c r="AA31" i="131"/>
  <c r="AA30" i="131"/>
  <c r="AM21" i="131"/>
  <c r="R31" i="131"/>
  <c r="BA53" i="131"/>
  <c r="P52" i="131"/>
  <c r="P53" i="131" s="1"/>
  <c r="AE93" i="131"/>
  <c r="AE65" i="131" s="1"/>
  <c r="AG65" i="131"/>
  <c r="AE30" i="130"/>
  <c r="V65" i="130"/>
  <c r="AA65" i="130"/>
  <c r="X52" i="130"/>
  <c r="X53" i="130" s="1"/>
  <c r="AE30" i="131"/>
  <c r="AS30" i="131"/>
  <c r="AV53" i="131"/>
  <c r="S53" i="131" s="1"/>
  <c r="S52" i="131"/>
  <c r="S66" i="131"/>
  <c r="CL66" i="131"/>
  <c r="AA50" i="130"/>
  <c r="AI52" i="130"/>
  <c r="AS52" i="130"/>
  <c r="AS53" i="130" s="1"/>
  <c r="R30" i="131"/>
  <c r="R50" i="131"/>
  <c r="M65" i="131"/>
  <c r="AL65" i="131"/>
  <c r="BZ53" i="131"/>
  <c r="AH53" i="131" s="1"/>
  <c r="P50" i="130"/>
  <c r="AE50" i="130"/>
  <c r="P93" i="131"/>
  <c r="P65" i="131"/>
  <c r="R65" i="131"/>
  <c r="K52" i="131"/>
  <c r="BW53" i="131"/>
  <c r="AI53" i="131" s="1"/>
  <c r="AI52" i="131"/>
  <c r="AE47" i="132"/>
  <c r="X65" i="131"/>
  <c r="X52" i="131"/>
  <c r="X53" i="131" s="1"/>
  <c r="H66" i="131"/>
  <c r="AR52" i="131"/>
  <c r="I66" i="131"/>
  <c r="C80" i="124"/>
  <c r="C50" i="124"/>
  <c r="C23" i="124"/>
  <c r="C86" i="124"/>
  <c r="C55" i="124"/>
  <c r="C27" i="124"/>
  <c r="C84" i="124"/>
  <c r="C54" i="124"/>
  <c r="C26" i="124"/>
  <c r="C82" i="124"/>
  <c r="C53" i="124"/>
  <c r="C25" i="124"/>
  <c r="C88" i="124"/>
  <c r="C57" i="124"/>
  <c r="C29" i="124"/>
  <c r="D15" i="124"/>
  <c r="D46" i="124"/>
  <c r="D75" i="124"/>
  <c r="D20" i="124"/>
  <c r="D47" i="124"/>
  <c r="D77" i="124"/>
  <c r="D26" i="124"/>
  <c r="D54" i="124"/>
  <c r="D84" i="124"/>
  <c r="D28" i="124"/>
  <c r="D56" i="124"/>
  <c r="C74" i="124"/>
  <c r="C45" i="124"/>
  <c r="C17" i="124"/>
  <c r="C79" i="124"/>
  <c r="C49" i="124"/>
  <c r="C22" i="124"/>
  <c r="C78" i="124"/>
  <c r="C48" i="124"/>
  <c r="C21" i="124"/>
  <c r="C77" i="124"/>
  <c r="C47" i="124"/>
  <c r="C20" i="124"/>
  <c r="C81" i="124"/>
  <c r="C51" i="124"/>
  <c r="C24" i="124"/>
  <c r="D24" i="124"/>
  <c r="D51" i="124"/>
  <c r="D81" i="124"/>
  <c r="D25" i="124"/>
  <c r="D53" i="124"/>
  <c r="D82" i="124"/>
  <c r="D32" i="124"/>
  <c r="D59" i="124"/>
  <c r="D6" i="124"/>
  <c r="D34" i="124"/>
  <c r="D62" i="124"/>
  <c r="C68" i="124"/>
  <c r="C40" i="124"/>
  <c r="C9" i="124"/>
  <c r="C73" i="124"/>
  <c r="C44" i="124"/>
  <c r="C13" i="124"/>
  <c r="C72" i="124"/>
  <c r="C43" i="124"/>
  <c r="C14" i="124"/>
  <c r="C71" i="124"/>
  <c r="C42" i="124"/>
  <c r="C15" i="124"/>
  <c r="C75" i="124"/>
  <c r="C46" i="124"/>
  <c r="C16" i="124"/>
  <c r="D29" i="124"/>
  <c r="D57" i="124"/>
  <c r="D88" i="124"/>
  <c r="D30" i="124"/>
  <c r="D58" i="124"/>
  <c r="D89" i="124"/>
  <c r="D38" i="124"/>
  <c r="D66" i="124"/>
  <c r="D79" i="124"/>
  <c r="D11" i="124"/>
  <c r="D40" i="124"/>
  <c r="D68" i="124"/>
  <c r="C62" i="124"/>
  <c r="C34" i="124"/>
  <c r="C4" i="124"/>
  <c r="C67" i="124"/>
  <c r="C39" i="124"/>
  <c r="C18" i="124"/>
  <c r="C66" i="124"/>
  <c r="C38" i="124"/>
  <c r="C7" i="124"/>
  <c r="C64" i="124"/>
  <c r="C36" i="124"/>
  <c r="C11" i="124"/>
  <c r="C70" i="124"/>
  <c r="C41" i="124"/>
  <c r="C10" i="124"/>
  <c r="D7" i="124"/>
  <c r="D35" i="124"/>
  <c r="D63" i="124"/>
  <c r="D8" i="124"/>
  <c r="D36" i="124"/>
  <c r="D64" i="124"/>
  <c r="D43" i="124"/>
  <c r="D72" i="124"/>
  <c r="D13" i="124"/>
  <c r="D45" i="124"/>
  <c r="D74" i="124"/>
  <c r="C87" i="124"/>
  <c r="C56" i="124"/>
  <c r="C28" i="124"/>
  <c r="C60" i="124"/>
  <c r="C33" i="124"/>
  <c r="C8" i="124"/>
  <c r="C59" i="124"/>
  <c r="C32" i="124"/>
  <c r="C89" i="124"/>
  <c r="C58" i="124"/>
  <c r="C30" i="124"/>
  <c r="C6" i="124"/>
  <c r="C63" i="124"/>
  <c r="C35" i="124"/>
  <c r="C5" i="124"/>
  <c r="D14" i="124"/>
  <c r="D41" i="124"/>
  <c r="D70" i="124"/>
  <c r="D16" i="124"/>
  <c r="D42" i="124"/>
  <c r="D71" i="124"/>
  <c r="D21" i="124"/>
  <c r="D48" i="124"/>
  <c r="D78" i="124"/>
  <c r="D23" i="124"/>
  <c r="D50" i="124"/>
  <c r="D80" i="124"/>
  <c r="E80" i="124" l="1"/>
  <c r="E23" i="124"/>
  <c r="E78" i="124"/>
  <c r="E48" i="124"/>
  <c r="E21" i="124"/>
  <c r="E71" i="124"/>
  <c r="E42" i="124"/>
  <c r="E16" i="124"/>
  <c r="E70" i="124"/>
  <c r="E41" i="124"/>
  <c r="E14" i="124"/>
  <c r="E5" i="124"/>
  <c r="E33" i="124"/>
  <c r="E60" i="124"/>
  <c r="E87" i="124"/>
  <c r="E74" i="124"/>
  <c r="E45" i="124"/>
  <c r="E13" i="124"/>
  <c r="E72" i="124"/>
  <c r="E43" i="124"/>
  <c r="E64" i="124"/>
  <c r="E36" i="124"/>
  <c r="E8" i="124"/>
  <c r="E63" i="124"/>
  <c r="E35" i="124"/>
  <c r="E7" i="124"/>
  <c r="E10" i="124"/>
  <c r="E18" i="124"/>
  <c r="E39" i="124"/>
  <c r="E67" i="124"/>
  <c r="E4" i="124"/>
  <c r="E68" i="124"/>
  <c r="E40" i="124"/>
  <c r="E11" i="124"/>
  <c r="E79" i="124"/>
  <c r="E66" i="124"/>
  <c r="E38" i="124"/>
  <c r="E89" i="124"/>
  <c r="E58" i="124"/>
  <c r="E30" i="124"/>
  <c r="E88" i="124"/>
  <c r="E57" i="124"/>
  <c r="E29" i="124"/>
  <c r="E44" i="124"/>
  <c r="E73" i="124"/>
  <c r="E9" i="124"/>
  <c r="E62" i="124"/>
  <c r="E34" i="124"/>
  <c r="E6" i="124"/>
  <c r="E59" i="124"/>
  <c r="E32" i="124"/>
  <c r="E82" i="124"/>
  <c r="E53" i="124"/>
  <c r="E25" i="124"/>
  <c r="E81" i="124"/>
  <c r="E24" i="124"/>
  <c r="E22" i="124"/>
  <c r="E49" i="124"/>
  <c r="E17" i="124"/>
  <c r="E56" i="124"/>
  <c r="E84" i="124"/>
  <c r="E54" i="124"/>
  <c r="E26" i="124"/>
  <c r="E77" i="124"/>
  <c r="E47" i="124"/>
  <c r="E20" i="124"/>
  <c r="E75" i="124"/>
  <c r="E46" i="124"/>
  <c r="E15" i="124"/>
  <c r="E27" i="124"/>
  <c r="E55" i="124"/>
  <c r="E86" i="124"/>
  <c r="L107" i="125"/>
  <c r="R107" i="120"/>
  <c r="D79" i="122"/>
  <c r="BU107" i="120"/>
  <c r="S53" i="125"/>
  <c r="S107" i="125" s="1"/>
  <c r="AV107" i="125"/>
  <c r="AC53" i="125"/>
  <c r="AC107" i="125" s="1"/>
  <c r="BX107" i="125"/>
  <c r="L53" i="125"/>
  <c r="AY107" i="125"/>
  <c r="AP53" i="120"/>
  <c r="AP107" i="120" s="1"/>
  <c r="CD107" i="120"/>
  <c r="CL107" i="120"/>
  <c r="X107" i="125"/>
  <c r="BZ107" i="125"/>
</calcChain>
</file>

<file path=xl/comments1.xml><?xml version="1.0" encoding="utf-8"?>
<comments xmlns="http://schemas.openxmlformats.org/spreadsheetml/2006/main">
  <authors>
    <author>MuellerR</author>
  </authors>
  <commentList>
    <comment ref="A14" authorId="0" shapeId="0">
      <text>
        <r>
          <rPr>
            <sz val="8"/>
            <color indexed="81"/>
            <rFont val="Tahoma"/>
          </rPr>
          <t>Bezogen auf alle zivilen Erwerbspersonen</t>
        </r>
      </text>
    </comment>
    <comment ref="A16"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A48" authorId="0" shapeId="0">
      <text>
        <r>
          <rPr>
            <sz val="8"/>
            <color indexed="81"/>
            <rFont val="Tahoma"/>
          </rPr>
          <t xml:space="preserve">Milchleistung aus Statistik Milcherzeugung für das Jahr 2010 auf Kreisebene nicht verfügbar.
</t>
        </r>
      </text>
    </comment>
    <comment ref="A51" authorId="0" shapeId="0">
      <text>
        <r>
          <rPr>
            <sz val="8"/>
            <color indexed="81"/>
            <rFont val="Tahoma"/>
            <family val="2"/>
          </rPr>
          <t xml:space="preserve">Anzahl Milchkühe aus Statistik Milcherzeugung für das Jahr 2010 auf Kreisebene  nicht verfügbar .
</t>
        </r>
      </text>
    </comment>
    <comment ref="A53" authorId="0" shapeId="0">
      <text>
        <r>
          <rPr>
            <sz val="8"/>
            <color indexed="81"/>
            <rFont val="Tahoma"/>
          </rPr>
          <t>Einzelne Naturschutzgebiete erstrecken sich über mehrere Kreise und Regionen. Die Anzahl/Fläche der NSG auf Regions- oder Regierungsbezirksebene ist deswegen nicht gleich der Summe der Anzahl/Fläche der NSG in den Kreisen.</t>
        </r>
      </text>
    </comment>
    <comment ref="A55" authorId="0" shapeId="0">
      <text>
        <r>
          <rPr>
            <sz val="8"/>
            <color indexed="81"/>
            <rFont val="Tahoma"/>
          </rPr>
          <t>Fauna = Tierwelt, 
Flora = Pflanzenwelt, Habitat = Lebensraum</t>
        </r>
      </text>
    </comment>
    <comment ref="A57" authorId="0" shapeId="0">
      <text>
        <r>
          <rPr>
            <sz val="8"/>
            <color indexed="81"/>
            <rFont val="Tahoma"/>
          </rPr>
          <t>Special Protected Areas (SPA) = Vogelschutzgebiete</t>
        </r>
      </text>
    </comment>
    <comment ref="D62" authorId="0" shapeId="0">
      <text>
        <r>
          <rPr>
            <sz val="8"/>
            <color indexed="81"/>
            <rFont val="Tahoma"/>
          </rPr>
          <t>kalkuliert</t>
        </r>
      </text>
    </comment>
    <comment ref="F62" authorId="0" shapeId="0">
      <text>
        <r>
          <rPr>
            <sz val="8"/>
            <color indexed="81"/>
            <rFont val="Tahoma"/>
          </rPr>
          <t>kalkuliert</t>
        </r>
      </text>
    </comment>
    <comment ref="E66" authorId="0" shapeId="0">
      <text>
        <r>
          <rPr>
            <sz val="8"/>
            <color indexed="81"/>
            <rFont val="Tahoma"/>
            <family val="2"/>
          </rPr>
          <t>Anteil an allen lw. Betrieben ab 2 ha LF
im Gebiet</t>
        </r>
      </text>
    </comment>
    <comment ref="E67" authorId="0" shapeId="0">
      <text>
        <r>
          <rPr>
            <sz val="8"/>
            <color indexed="81"/>
            <rFont val="Tahoma"/>
          </rPr>
          <t xml:space="preserve">Anteil an allen lw. Flächen im Gebiet
</t>
        </r>
      </text>
    </comment>
    <comment ref="E69" authorId="0" shapeId="0">
      <text>
        <r>
          <rPr>
            <sz val="8"/>
            <color indexed="81"/>
            <rFont val="Tahoma"/>
            <family val="2"/>
          </rPr>
          <t>Anteil an allen lw. Betrieben &gt; 0 ha LF
im Gebiet</t>
        </r>
      </text>
    </comment>
  </commentList>
</comments>
</file>

<file path=xl/comments2.xml><?xml version="1.0" encoding="utf-8"?>
<comments xmlns="http://schemas.openxmlformats.org/spreadsheetml/2006/main">
  <authors>
    <author>MuellerR</author>
  </authors>
  <commentList>
    <comment ref="A14" authorId="0" shapeId="0">
      <text>
        <r>
          <rPr>
            <sz val="8"/>
            <color indexed="81"/>
            <rFont val="Tahoma"/>
          </rPr>
          <t>Bezogen auf alle zivilen Erwerbspersonen</t>
        </r>
      </text>
    </comment>
    <comment ref="A16" authorId="0" shapeId="0">
      <text>
        <r>
          <rPr>
            <sz val="8"/>
            <color indexed="81"/>
            <rFont val="Tahoma"/>
          </rPr>
          <t xml:space="preserve">Sozialversicherungspflichtige Beschäftigte Arbeitnehmer am Arbeitsort (jährlich am 30.6.) 
Zahlen nur bedingt vergleichbar, da ab 2008 eine neue Systemmatik der Wirtschaftszweige eingeführt wurde. Z.B. Dienstleistungen, Garten- und Landschaftsbau, Weinherstellung u.a. zählen ab 2008 nicht mehr zum Wirtschaftszweig Land- und Forstwirtschaft.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A28" authorId="0" shapeId="0">
      <text>
        <r>
          <rPr>
            <sz val="8"/>
            <color indexed="81"/>
            <rFont val="Tahoma"/>
          </rPr>
          <t>Bei Auswahl des Jahres 2001gilt als Bezugsjahr zur Berechnung der Änderung das Jahr 1991.</t>
        </r>
      </text>
    </comment>
    <comment ref="A48" authorId="0" shapeId="0">
      <text>
        <r>
          <rPr>
            <sz val="8"/>
            <color indexed="81"/>
            <rFont val="Tahoma"/>
          </rPr>
          <t xml:space="preserve">Milchleistung aus Statistik Milcherzeugung für das Jahr 2010 auf Kreisebene nicht verfügbar.
</t>
        </r>
      </text>
    </comment>
    <comment ref="A50" authorId="0" shapeId="0">
      <text>
        <r>
          <rPr>
            <sz val="8"/>
            <color indexed="81"/>
            <rFont val="Tahoma"/>
          </rPr>
          <t>Bei Auswahl des Jahres 2001gilt als Bezugsjahr zur Berechnung der Änderung das Jahr 1991.</t>
        </r>
      </text>
    </comment>
    <comment ref="A51" authorId="0" shapeId="0">
      <text>
        <r>
          <rPr>
            <sz val="8"/>
            <color indexed="81"/>
            <rFont val="Tahoma"/>
          </rPr>
          <t>Bei Auswahl des Jahres 2001gilt als Bezugsjahr zur Berechnung der Änderung das Jahr 1991.
Anzahl Milchkühe aus Statistik Milcherzeugung für das Jahr 2010 auf Kreisebene  nicht verfügbar .</t>
        </r>
      </text>
    </comment>
    <comment ref="A53" authorId="0" shapeId="0">
      <text>
        <r>
          <rPr>
            <sz val="8"/>
            <color indexed="81"/>
            <rFont val="Tahoma"/>
          </rPr>
          <t>Einzelne Naturschutzgebiete erstrecken sich über mehrere Kreise und Regionen. Die Anzahl/Fläche der NSG auf Regions- oder Regierungsbezirksebene ist deswegen nicht gleich der Summe der Anzahl/Fläche der NSG in den Kreisen.</t>
        </r>
      </text>
    </comment>
    <comment ref="A55" authorId="0" shapeId="0">
      <text>
        <r>
          <rPr>
            <sz val="8"/>
            <color indexed="81"/>
            <rFont val="Tahoma"/>
          </rPr>
          <t>bis 2010: Landschaftsschutzgebiete;
ab 2011: FFH-Gebiete
Fauna = Tierwelt, 
Flora = Pflanzenwelt, Habitat = Lebensraum</t>
        </r>
      </text>
    </comment>
    <comment ref="A57" authorId="0" shapeId="0">
      <text>
        <r>
          <rPr>
            <sz val="8"/>
            <color indexed="81"/>
            <rFont val="Tahoma"/>
          </rPr>
          <t>bis 2010: Naturdenkmale, flächenhaft
ab 2011: Vogelschutzgebiete
Special Protected Areas (SPA) = Vogelschutzgebiete</t>
        </r>
      </text>
    </comment>
    <comment ref="C62" authorId="0" shapeId="0">
      <text>
        <r>
          <rPr>
            <sz val="8"/>
            <color indexed="81"/>
            <rFont val="Tahoma"/>
          </rPr>
          <t>kalkuliert</t>
        </r>
      </text>
    </comment>
    <comment ref="D62" authorId="0" shapeId="0">
      <text>
        <r>
          <rPr>
            <sz val="8"/>
            <color indexed="81"/>
            <rFont val="Tahoma"/>
          </rPr>
          <t>kalkuliert</t>
        </r>
      </text>
    </comment>
  </commentList>
</comments>
</file>

<file path=xl/comments3.xml><?xml version="1.0" encoding="utf-8"?>
<comments xmlns="http://schemas.openxmlformats.org/spreadsheetml/2006/main">
  <authors>
    <author>MuellerR</author>
  </authors>
  <commentList>
    <comment ref="B8" authorId="0" shapeId="0">
      <text>
        <r>
          <rPr>
            <b/>
            <sz val="8"/>
            <color indexed="81"/>
            <rFont val="Tahoma"/>
          </rPr>
          <t>MuellerR:</t>
        </r>
        <r>
          <rPr>
            <sz val="8"/>
            <color indexed="81"/>
            <rFont val="Tahoma"/>
          </rPr>
          <t xml:space="preserve">
Summe aus Gebäude- und Freifläche, Betriebsfläche ohne Abbauland, Erholungsfläche, Verkehrsfläche, Friedhof.
</t>
        </r>
      </text>
    </comment>
    <comment ref="B13" authorId="0" shapeId="0">
      <text>
        <r>
          <rPr>
            <b/>
            <sz val="8"/>
            <color indexed="81"/>
            <rFont val="Tahoma"/>
          </rPr>
          <t>MuellerR:</t>
        </r>
        <r>
          <rPr>
            <sz val="8"/>
            <color indexed="81"/>
            <rFont val="Tahoma"/>
          </rPr>
          <t xml:space="preserve">
Stand: 31.12.2009</t>
        </r>
      </text>
    </comment>
    <comment ref="B17" authorId="0" shapeId="0">
      <text>
        <r>
          <rPr>
            <b/>
            <sz val="8"/>
            <color indexed="81"/>
            <rFont val="Tahoma"/>
          </rPr>
          <t>MuellerR:</t>
        </r>
        <r>
          <rPr>
            <sz val="8"/>
            <color indexed="81"/>
            <rFont val="Tahoma"/>
          </rPr>
          <t xml:space="preserve">
Bezogen auf alle zivilen Erwerbspersonen</t>
        </r>
      </text>
    </comment>
    <comment ref="B19"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B55" authorId="0" shapeId="0">
      <text>
        <r>
          <rPr>
            <b/>
            <sz val="8"/>
            <color indexed="81"/>
            <rFont val="Tahoma"/>
          </rPr>
          <t>MuellerR:</t>
        </r>
        <r>
          <rPr>
            <sz val="8"/>
            <color indexed="81"/>
            <rFont val="Tahoma"/>
          </rPr>
          <t xml:space="preserve">
Da einzelne Naturschutzgebiete in mehreren Kreisen liegen, kommt es zu Mehrfachzählungen, welche eine Aggregation auf Regions- und Regierungsbezirksebene ausschließen.</t>
        </r>
      </text>
    </comment>
  </commentList>
</comments>
</file>

<file path=xl/comments4.xml><?xml version="1.0" encoding="utf-8"?>
<comments xmlns="http://schemas.openxmlformats.org/spreadsheetml/2006/main">
  <authors>
    <author>MuellerR</author>
  </authors>
  <commentList>
    <comment ref="B8" authorId="0" shapeId="0">
      <text>
        <r>
          <rPr>
            <b/>
            <sz val="8"/>
            <color indexed="81"/>
            <rFont val="Tahoma"/>
          </rPr>
          <t>MuellerR:</t>
        </r>
        <r>
          <rPr>
            <sz val="8"/>
            <color indexed="81"/>
            <rFont val="Tahoma"/>
          </rPr>
          <t xml:space="preserve">
Summe aus Gebäude- und Freifläche, Betriebsfläche ohne Abbauland, Erholungsfläche, Verkehrsfläche, Friedhof.
</t>
        </r>
      </text>
    </comment>
    <comment ref="B13" authorId="0" shapeId="0">
      <text>
        <r>
          <rPr>
            <b/>
            <sz val="8"/>
            <color indexed="81"/>
            <rFont val="Tahoma"/>
          </rPr>
          <t>MuellerR:</t>
        </r>
        <r>
          <rPr>
            <sz val="8"/>
            <color indexed="81"/>
            <rFont val="Tahoma"/>
          </rPr>
          <t xml:space="preserve">
Stand: 31.12.2010</t>
        </r>
      </text>
    </comment>
    <comment ref="B17" authorId="0" shapeId="0">
      <text>
        <r>
          <rPr>
            <b/>
            <sz val="8"/>
            <color indexed="81"/>
            <rFont val="Tahoma"/>
          </rPr>
          <t>MuellerR:</t>
        </r>
        <r>
          <rPr>
            <sz val="8"/>
            <color indexed="81"/>
            <rFont val="Tahoma"/>
          </rPr>
          <t xml:space="preserve">
Bezogen auf alle zivilen Erwerbspersonen</t>
        </r>
      </text>
    </comment>
    <comment ref="B19"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B55" authorId="0" shapeId="0">
      <text>
        <r>
          <rPr>
            <b/>
            <sz val="8"/>
            <color indexed="81"/>
            <rFont val="Tahoma"/>
          </rPr>
          <t>MuellerR:</t>
        </r>
        <r>
          <rPr>
            <sz val="8"/>
            <color indexed="81"/>
            <rFont val="Tahoma"/>
          </rPr>
          <t xml:space="preserve">
Da einzelne Naturschutzgebiete in mehreren Kreisen liegen, kommt es zu Mehrfachzählungen, welche eine Aggregation auf Regions- und Regierungsbezirksebene ausschließen.</t>
        </r>
      </text>
    </comment>
    <comment ref="B96" authorId="0" shapeId="0">
      <text>
        <r>
          <rPr>
            <sz val="8"/>
            <color indexed="81"/>
            <rFont val="Tahoma"/>
          </rPr>
          <t xml:space="preserve">Bundesanstalt für Landwirtschaft und Ernährung, Bonn
</t>
        </r>
      </text>
    </comment>
  </commentList>
</comments>
</file>

<file path=xl/comments5.xml><?xml version="1.0" encoding="utf-8"?>
<comments xmlns="http://schemas.openxmlformats.org/spreadsheetml/2006/main">
  <authors>
    <author>MuellerR</author>
  </authors>
  <commentList>
    <comment ref="B8" authorId="0" shapeId="0">
      <text>
        <r>
          <rPr>
            <b/>
            <sz val="8"/>
            <color indexed="81"/>
            <rFont val="Tahoma"/>
          </rPr>
          <t>MuellerR:</t>
        </r>
        <r>
          <rPr>
            <sz val="8"/>
            <color indexed="81"/>
            <rFont val="Tahoma"/>
          </rPr>
          <t xml:space="preserve">
Summe aus Gebäude- und Freifläche, Betriebsfläche ohne Abbauland, Erholungsfläche, Verkehrsfläche, Friedhof.
</t>
        </r>
      </text>
    </comment>
    <comment ref="B13" authorId="0" shapeId="0">
      <text>
        <r>
          <rPr>
            <b/>
            <sz val="8"/>
            <color indexed="81"/>
            <rFont val="Tahoma"/>
          </rPr>
          <t>MuellerR:</t>
        </r>
        <r>
          <rPr>
            <sz val="8"/>
            <color indexed="81"/>
            <rFont val="Tahoma"/>
          </rPr>
          <t xml:space="preserve">
Stand: 31.12.2009</t>
        </r>
      </text>
    </comment>
    <comment ref="B17" authorId="0" shapeId="0">
      <text>
        <r>
          <rPr>
            <b/>
            <sz val="8"/>
            <color indexed="81"/>
            <rFont val="Tahoma"/>
          </rPr>
          <t>MuellerR:</t>
        </r>
        <r>
          <rPr>
            <sz val="8"/>
            <color indexed="81"/>
            <rFont val="Tahoma"/>
          </rPr>
          <t xml:space="preserve">
Bezogen auf alle zivilen Erwerbspersonen</t>
        </r>
      </text>
    </comment>
    <comment ref="B19"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C41" authorId="0" shapeId="0">
      <text>
        <r>
          <rPr>
            <b/>
            <sz val="8"/>
            <color indexed="81"/>
            <rFont val="Tahoma"/>
          </rPr>
          <t>MuellerR:</t>
        </r>
        <r>
          <rPr>
            <sz val="8"/>
            <color indexed="81"/>
            <rFont val="Tahoma"/>
          </rPr>
          <t xml:space="preserve">
HIT Nov 2009</t>
        </r>
      </text>
    </comment>
    <comment ref="B55" authorId="0" shapeId="0">
      <text>
        <r>
          <rPr>
            <b/>
            <sz val="8"/>
            <color indexed="81"/>
            <rFont val="Tahoma"/>
          </rPr>
          <t>MuellerR:</t>
        </r>
        <r>
          <rPr>
            <sz val="8"/>
            <color indexed="81"/>
            <rFont val="Tahoma"/>
          </rPr>
          <t xml:space="preserve">
Da einzelne Naturschutzgebiete in mehreren Kreisen liegen, kommt es zu Mehrfachzählungen, welche eine Aggregation auf Regions- und Regierungsbezirksebene ausschließen.</t>
        </r>
      </text>
    </comment>
  </commentList>
</comments>
</file>

<file path=xl/comments6.xml><?xml version="1.0" encoding="utf-8"?>
<comments xmlns="http://schemas.openxmlformats.org/spreadsheetml/2006/main">
  <authors>
    <author>MuellerR</author>
  </authors>
  <commentList>
    <comment ref="B8" authorId="0" shapeId="0">
      <text>
        <r>
          <rPr>
            <b/>
            <sz val="8"/>
            <color indexed="81"/>
            <rFont val="Tahoma"/>
          </rPr>
          <t>MuellerR:</t>
        </r>
        <r>
          <rPr>
            <sz val="8"/>
            <color indexed="81"/>
            <rFont val="Tahoma"/>
          </rPr>
          <t xml:space="preserve">
Summe aus Gebäude- und Freifläche, Betriebsfläche ohne Abbauland, Erholungsfläche, Verkehrsfläche, Friedhof.
</t>
        </r>
      </text>
    </comment>
    <comment ref="B13" authorId="0" shapeId="0">
      <text>
        <r>
          <rPr>
            <b/>
            <sz val="8"/>
            <color indexed="81"/>
            <rFont val="Tahoma"/>
          </rPr>
          <t>MuellerR:</t>
        </r>
        <r>
          <rPr>
            <sz val="8"/>
            <color indexed="81"/>
            <rFont val="Tahoma"/>
          </rPr>
          <t xml:space="preserve">
Stand: 31.12.2008</t>
        </r>
      </text>
    </comment>
    <comment ref="B17" authorId="0" shapeId="0">
      <text>
        <r>
          <rPr>
            <b/>
            <sz val="8"/>
            <color indexed="81"/>
            <rFont val="Tahoma"/>
          </rPr>
          <t>MuellerR:</t>
        </r>
        <r>
          <rPr>
            <sz val="8"/>
            <color indexed="81"/>
            <rFont val="Tahoma"/>
          </rPr>
          <t xml:space="preserve">
Bezogen auf alle zivilen Erwerbspersonen</t>
        </r>
      </text>
    </comment>
    <comment ref="B19"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C41" authorId="0" shapeId="0">
      <text>
        <r>
          <rPr>
            <b/>
            <sz val="8"/>
            <color indexed="81"/>
            <rFont val="Tahoma"/>
          </rPr>
          <t>MuellerR:</t>
        </r>
        <r>
          <rPr>
            <sz val="8"/>
            <color indexed="81"/>
            <rFont val="Tahoma"/>
          </rPr>
          <t xml:space="preserve">
HIT Nov 2008
</t>
        </r>
      </text>
    </comment>
    <comment ref="B55" authorId="0" shapeId="0">
      <text>
        <r>
          <rPr>
            <b/>
            <sz val="8"/>
            <color indexed="81"/>
            <rFont val="Tahoma"/>
          </rPr>
          <t>MuellerR:</t>
        </r>
        <r>
          <rPr>
            <sz val="8"/>
            <color indexed="81"/>
            <rFont val="Tahoma"/>
          </rPr>
          <t xml:space="preserve">
Da einzelne Naturschutzgebiete in mehreren Kreisen liegen, kommt es zu Mehrfachzählungen, welche eine Aggregation auf Regions- und Regierungsbezirksebene ausschließen.</t>
        </r>
      </text>
    </comment>
  </commentList>
</comments>
</file>

<file path=xl/comments7.xml><?xml version="1.0" encoding="utf-8"?>
<comments xmlns="http://schemas.openxmlformats.org/spreadsheetml/2006/main">
  <authors>
    <author>MuellerR</author>
  </authors>
  <commentList>
    <comment ref="B8" authorId="0" shapeId="0">
      <text>
        <r>
          <rPr>
            <b/>
            <sz val="8"/>
            <color indexed="81"/>
            <rFont val="Tahoma"/>
          </rPr>
          <t>MuellerR:</t>
        </r>
        <r>
          <rPr>
            <sz val="8"/>
            <color indexed="81"/>
            <rFont val="Tahoma"/>
          </rPr>
          <t xml:space="preserve">
Summe aus Gebäude- und Freifläche, Betriebsfläche ohne Abbauland, Erholungsfläche, Verkehrsfläche, Friedhof.
</t>
        </r>
      </text>
    </comment>
    <comment ref="B13" authorId="0" shapeId="0">
      <text>
        <r>
          <rPr>
            <b/>
            <sz val="8"/>
            <color indexed="81"/>
            <rFont val="Tahoma"/>
          </rPr>
          <t>MuellerR:</t>
        </r>
        <r>
          <rPr>
            <sz val="8"/>
            <color indexed="81"/>
            <rFont val="Tahoma"/>
          </rPr>
          <t xml:space="preserve">
Stand: 31.12.2009</t>
        </r>
      </text>
    </comment>
    <comment ref="B17" authorId="0" shapeId="0">
      <text>
        <r>
          <rPr>
            <b/>
            <sz val="8"/>
            <color indexed="81"/>
            <rFont val="Tahoma"/>
          </rPr>
          <t>MuellerR:</t>
        </r>
        <r>
          <rPr>
            <sz val="8"/>
            <color indexed="81"/>
            <rFont val="Tahoma"/>
          </rPr>
          <t xml:space="preserve">
Bezogen auf alle zivilen Erwerbspersonen</t>
        </r>
      </text>
    </comment>
    <comment ref="B19"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B55" authorId="0" shapeId="0">
      <text>
        <r>
          <rPr>
            <b/>
            <sz val="8"/>
            <color indexed="81"/>
            <rFont val="Tahoma"/>
          </rPr>
          <t>MuellerR:</t>
        </r>
        <r>
          <rPr>
            <sz val="8"/>
            <color indexed="81"/>
            <rFont val="Tahoma"/>
          </rPr>
          <t xml:space="preserve">
Da einzelne Naturschutzgebiete in mehreren Kreisen liegen, kommt es zu Mehrfachzählungen, welche eine Aggregation auf Regions- und Regierungsbezirksebene ausschließen.</t>
        </r>
      </text>
    </comment>
  </commentList>
</comments>
</file>

<file path=xl/comments8.xml><?xml version="1.0" encoding="utf-8"?>
<comments xmlns="http://schemas.openxmlformats.org/spreadsheetml/2006/main">
  <authors>
    <author>MuellerR</author>
  </authors>
  <commentList>
    <comment ref="B6" authorId="0" shapeId="0">
      <text>
        <r>
          <rPr>
            <b/>
            <sz val="8"/>
            <color indexed="81"/>
            <rFont val="Tahoma"/>
          </rPr>
          <t>MuellerR:</t>
        </r>
        <r>
          <rPr>
            <sz val="8"/>
            <color indexed="81"/>
            <rFont val="Tahoma"/>
          </rPr>
          <t xml:space="preserve">
Die Daten der Kreise wurden ermittelt, indem die Werte der Mittelbereich aufsummiert und bereinigt um die Stadtkreise berechnet wurden. Die Daten der Stadtkreise sind aus dem Jahr 2000.</t>
        </r>
      </text>
    </comment>
    <comment ref="AT7" authorId="0" shapeId="0">
      <text>
        <r>
          <rPr>
            <b/>
            <sz val="8"/>
            <color indexed="81"/>
            <rFont val="Tahoma"/>
          </rPr>
          <t>Stand: 21.12.2000</t>
        </r>
        <r>
          <rPr>
            <sz val="8"/>
            <color indexed="81"/>
            <rFont val="Tahoma"/>
          </rPr>
          <t xml:space="preserve">
</t>
        </r>
      </text>
    </comment>
    <comment ref="AZ7" authorId="0" shapeId="0">
      <text>
        <r>
          <rPr>
            <b/>
            <sz val="8"/>
            <color indexed="81"/>
            <rFont val="Tahoma"/>
          </rPr>
          <t>Stand: 21.12.2000</t>
        </r>
        <r>
          <rPr>
            <sz val="8"/>
            <color indexed="81"/>
            <rFont val="Tahoma"/>
          </rPr>
          <t xml:space="preserve">
</t>
        </r>
      </text>
    </comment>
    <comment ref="BG7" authorId="0" shapeId="0">
      <text>
        <r>
          <rPr>
            <b/>
            <sz val="8"/>
            <color indexed="81"/>
            <rFont val="Tahoma"/>
          </rPr>
          <t>Stand: 21.12.2000</t>
        </r>
        <r>
          <rPr>
            <sz val="8"/>
            <color indexed="81"/>
            <rFont val="Tahoma"/>
          </rPr>
          <t xml:space="preserve">
</t>
        </r>
      </text>
    </comment>
    <comment ref="BH7" authorId="0" shapeId="0">
      <text>
        <r>
          <rPr>
            <b/>
            <sz val="8"/>
            <color indexed="81"/>
            <rFont val="Tahoma"/>
          </rPr>
          <t>Stand: 21.12.2000</t>
        </r>
        <r>
          <rPr>
            <sz val="8"/>
            <color indexed="81"/>
            <rFont val="Tahoma"/>
          </rPr>
          <t xml:space="preserve">
</t>
        </r>
      </text>
    </comment>
    <comment ref="BK7" authorId="0" shapeId="0">
      <text>
        <r>
          <rPr>
            <b/>
            <sz val="8"/>
            <color indexed="81"/>
            <rFont val="Tahoma"/>
          </rPr>
          <t>Stand: 21.12.2000</t>
        </r>
        <r>
          <rPr>
            <sz val="8"/>
            <color indexed="81"/>
            <rFont val="Tahoma"/>
          </rPr>
          <t xml:space="preserve">
</t>
        </r>
      </text>
    </comment>
    <comment ref="BL7" authorId="0" shapeId="0">
      <text>
        <r>
          <rPr>
            <b/>
            <sz val="8"/>
            <color indexed="81"/>
            <rFont val="Tahoma"/>
          </rPr>
          <t>Stand: 21.12.2000</t>
        </r>
        <r>
          <rPr>
            <sz val="8"/>
            <color indexed="81"/>
            <rFont val="Tahoma"/>
          </rPr>
          <t xml:space="preserve">
</t>
        </r>
      </text>
    </comment>
    <comment ref="BO7" authorId="0" shapeId="0">
      <text>
        <r>
          <rPr>
            <b/>
            <sz val="8"/>
            <color indexed="81"/>
            <rFont val="Tahoma"/>
          </rPr>
          <t>Stand: 21.12.2000</t>
        </r>
        <r>
          <rPr>
            <sz val="8"/>
            <color indexed="81"/>
            <rFont val="Tahoma"/>
          </rPr>
          <t xml:space="preserve">
</t>
        </r>
      </text>
    </comment>
    <comment ref="BS7" authorId="0" shapeId="0">
      <text>
        <r>
          <rPr>
            <b/>
            <sz val="8"/>
            <color indexed="81"/>
            <rFont val="Tahoma"/>
          </rPr>
          <t>Stand: 21.12.2000</t>
        </r>
        <r>
          <rPr>
            <sz val="8"/>
            <color indexed="81"/>
            <rFont val="Tahoma"/>
          </rPr>
          <t xml:space="preserve">
</t>
        </r>
      </text>
    </comment>
    <comment ref="CF7" authorId="0" shapeId="0">
      <text>
        <r>
          <rPr>
            <b/>
            <sz val="8"/>
            <color indexed="81"/>
            <rFont val="Tahoma"/>
          </rPr>
          <t>Stand: 21.12.2000</t>
        </r>
        <r>
          <rPr>
            <sz val="8"/>
            <color indexed="81"/>
            <rFont val="Tahoma"/>
          </rPr>
          <t xml:space="preserve">
</t>
        </r>
      </text>
    </comment>
    <comment ref="B8" authorId="0" shapeId="0">
      <text>
        <r>
          <rPr>
            <b/>
            <sz val="8"/>
            <color indexed="81"/>
            <rFont val="Tahoma"/>
          </rPr>
          <t>MuellerR:</t>
        </r>
        <r>
          <rPr>
            <sz val="8"/>
            <color indexed="81"/>
            <rFont val="Tahoma"/>
          </rPr>
          <t xml:space="preserve">
Summe aus Gebäude- und Freifläche, Betriebsfläche ohne Abbauland, Erholungsfläche, Verkehrsfläche, Friedhof.
</t>
        </r>
      </text>
    </comment>
    <comment ref="B13" authorId="0" shapeId="0">
      <text>
        <r>
          <rPr>
            <b/>
            <sz val="8"/>
            <color indexed="81"/>
            <rFont val="Tahoma"/>
          </rPr>
          <t>MuellerR:</t>
        </r>
        <r>
          <rPr>
            <sz val="8"/>
            <color indexed="81"/>
            <rFont val="Tahoma"/>
          </rPr>
          <t xml:space="preserve">
Stand: 31.12.2001
</t>
        </r>
      </text>
    </comment>
    <comment ref="B17" authorId="0" shapeId="0">
      <text>
        <r>
          <rPr>
            <b/>
            <sz val="8"/>
            <color indexed="81"/>
            <rFont val="Tahoma"/>
          </rPr>
          <t>MuellerR:</t>
        </r>
        <r>
          <rPr>
            <sz val="8"/>
            <color indexed="81"/>
            <rFont val="Tahoma"/>
          </rPr>
          <t xml:space="preserve">
Bezogen auf alle zivilen Erwerbspersonen</t>
        </r>
      </text>
    </comment>
    <comment ref="B19"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B55" authorId="0" shapeId="0">
      <text>
        <r>
          <rPr>
            <b/>
            <sz val="8"/>
            <color indexed="81"/>
            <rFont val="Tahoma"/>
          </rPr>
          <t>MuellerR:</t>
        </r>
        <r>
          <rPr>
            <sz val="8"/>
            <color indexed="81"/>
            <rFont val="Tahoma"/>
          </rPr>
          <t xml:space="preserve">
Da einzelne Naturschutzgebiete in mehreren Kreisen liegen, kommt es zu Mehrfachzählungen, welche eine Aggregation auf Regions- und Regierungsbezirksebene ausschließen.</t>
        </r>
      </text>
    </comment>
  </commentList>
</comments>
</file>

<file path=xl/comments9.xml><?xml version="1.0" encoding="utf-8"?>
<comments xmlns="http://schemas.openxmlformats.org/spreadsheetml/2006/main">
  <authors>
    <author>MuellerR</author>
  </authors>
  <commentList>
    <comment ref="B6" authorId="0" shapeId="0">
      <text>
        <r>
          <rPr>
            <b/>
            <sz val="8"/>
            <color indexed="81"/>
            <rFont val="Tahoma"/>
          </rPr>
          <t>MuellerR:</t>
        </r>
        <r>
          <rPr>
            <sz val="8"/>
            <color indexed="81"/>
            <rFont val="Tahoma"/>
          </rPr>
          <t xml:space="preserve">
Die Daten der Kreise wurden ermittelt, indem die Werte der Mittelbereich aufsummiert und bereinigt um die Stadtkreise berechnet wurden. Die Daten der Stadtkreise sind aus dem Jahr 2000.</t>
        </r>
      </text>
    </comment>
    <comment ref="B8" authorId="0" shapeId="0">
      <text>
        <r>
          <rPr>
            <b/>
            <sz val="8"/>
            <color indexed="81"/>
            <rFont val="Tahoma"/>
          </rPr>
          <t>MuellerR:</t>
        </r>
        <r>
          <rPr>
            <sz val="8"/>
            <color indexed="81"/>
            <rFont val="Tahoma"/>
          </rPr>
          <t xml:space="preserve">
Summe aus Gebäude- und Freifläche, Betriebsfläche ohne Abbauland, Erholungsfläche, Verkehrsfläche, Friedhof.
</t>
        </r>
      </text>
    </comment>
    <comment ref="B13" authorId="0" shapeId="0">
      <text>
        <r>
          <rPr>
            <b/>
            <sz val="8"/>
            <color indexed="81"/>
            <rFont val="Tahoma"/>
          </rPr>
          <t>MuellerR:</t>
        </r>
        <r>
          <rPr>
            <sz val="8"/>
            <color indexed="81"/>
            <rFont val="Tahoma"/>
          </rPr>
          <t xml:space="preserve">
Stand: 31.12.2001
</t>
        </r>
      </text>
    </comment>
    <comment ref="B19" authorId="0" shapeId="0">
      <text>
        <r>
          <rPr>
            <sz val="8"/>
            <color indexed="81"/>
            <rFont val="Tahoma"/>
          </rPr>
          <t xml:space="preserve">Sozialversicherungspflichtige Beschäftigte Arbeitnehmer am Arbeitsort (jährlich am 30.6.) 
Alle Arbeitnehmer, die krankenversicherungspflichtig, rentenversicherungspflichtig , pflegeversicherungspflichtig und/oder beitragspflichtig nach dem Arbeitsförderungsgesetz sind oder für die von den Arbeitgebern Beitragsanteile zu den gesetzlichen Rentenversicherungen zu entrichten sind. In der Regel gehören zu diesem Personenkreis alle Arbeiter, Angestellten und Personen in beruflicher Ausbildung.
</t>
        </r>
      </text>
    </comment>
    <comment ref="B56" authorId="0" shapeId="0">
      <text>
        <r>
          <rPr>
            <b/>
            <sz val="8"/>
            <color indexed="81"/>
            <rFont val="Tahoma"/>
          </rPr>
          <t>MuellerR:</t>
        </r>
        <r>
          <rPr>
            <sz val="8"/>
            <color indexed="81"/>
            <rFont val="Tahoma"/>
          </rPr>
          <t xml:space="preserve">
Da einzelne Naturschutzgebiete in mehreren Kreisen liegen, kommt es zu Mehrfachzählungen, welche eine Aggregation auf Regions- und Regierungsbezirksebene ausschließen.</t>
        </r>
      </text>
    </comment>
  </commentList>
</comments>
</file>

<file path=xl/sharedStrings.xml><?xml version="1.0" encoding="utf-8"?>
<sst xmlns="http://schemas.openxmlformats.org/spreadsheetml/2006/main" count="4156" uniqueCount="328">
  <si>
    <t>Landwirtschaftsfläche</t>
  </si>
  <si>
    <t>ha</t>
  </si>
  <si>
    <t>Wasserfläche</t>
  </si>
  <si>
    <t>Mrd. €</t>
  </si>
  <si>
    <t>%</t>
  </si>
  <si>
    <t>50 bis unter 100 ha</t>
  </si>
  <si>
    <t>100 und mehr ha LF</t>
  </si>
  <si>
    <t>Dauergrünland</t>
  </si>
  <si>
    <t>Tiere</t>
  </si>
  <si>
    <t>darunter Zuchtsauen</t>
  </si>
  <si>
    <t>kg/Jahr</t>
  </si>
  <si>
    <t>t</t>
  </si>
  <si>
    <t>Personen</t>
  </si>
  <si>
    <t>Pers./km²</t>
  </si>
  <si>
    <t>Anzahl</t>
  </si>
  <si>
    <t>darunter Milchkühe</t>
  </si>
  <si>
    <t>Calw</t>
  </si>
  <si>
    <t>Anteil</t>
  </si>
  <si>
    <t>Württemberg</t>
  </si>
  <si>
    <t>Baden-</t>
  </si>
  <si>
    <t>Durchschnittsbestand Mastschweine</t>
  </si>
  <si>
    <t>Durchschnittsbestand Milchkühe</t>
  </si>
  <si>
    <t>GV/100 ha LF</t>
  </si>
  <si>
    <t>Kreis</t>
  </si>
  <si>
    <t>Sigmaringen</t>
  </si>
  <si>
    <t>Biberach</t>
  </si>
  <si>
    <t>Schwäbisch Hall</t>
  </si>
  <si>
    <t>Göppingen</t>
  </si>
  <si>
    <t>Ortenaukreis</t>
  </si>
  <si>
    <t>Ravensburg</t>
  </si>
  <si>
    <t>Tübingen</t>
  </si>
  <si>
    <t>Reutlingen</t>
  </si>
  <si>
    <t>Waldshut</t>
  </si>
  <si>
    <t>Lörrach</t>
  </si>
  <si>
    <t>Konstanz</t>
  </si>
  <si>
    <t>Tuttlingen</t>
  </si>
  <si>
    <t>Rottweil</t>
  </si>
  <si>
    <t>Emmendingen</t>
  </si>
  <si>
    <t>Freudenstadt</t>
  </si>
  <si>
    <t>Ostalbkreis</t>
  </si>
  <si>
    <t>Heidenheim</t>
  </si>
  <si>
    <t>Enzkreis</t>
  </si>
  <si>
    <t>–</t>
  </si>
  <si>
    <t>Dienstbezirk</t>
  </si>
  <si>
    <t>Rems-Murr-Kreis</t>
  </si>
  <si>
    <t>Hohenlohekreis</t>
  </si>
  <si>
    <t>Main-Tauber-Kreis</t>
  </si>
  <si>
    <t>Neckar-Odenwald-Kreis</t>
  </si>
  <si>
    <t>Rhein-Neckar-Kreis</t>
  </si>
  <si>
    <t>Schwarzwald-Baar-Kreis</t>
  </si>
  <si>
    <t>Zollernalbkreis</t>
  </si>
  <si>
    <t>Alb-Donau-Kreis</t>
  </si>
  <si>
    <t>Bodenseekreis</t>
  </si>
  <si>
    <t>der Unteren Landwirtschaftsbehörden</t>
  </si>
  <si>
    <t xml:space="preserve">nach Stadt-und Landkreisen sowie Dienstbezirken </t>
  </si>
  <si>
    <t>Baden-Württemberg</t>
  </si>
  <si>
    <t>ha LF beantr.</t>
  </si>
  <si>
    <t xml:space="preserve"> Naturschutzgebiete</t>
  </si>
  <si>
    <t xml:space="preserve"> Landschaftsschutzgebiete</t>
  </si>
  <si>
    <t xml:space="preserve"> Wasserschutzgebiete</t>
  </si>
  <si>
    <t xml:space="preserve"> Landesdurchschnitt</t>
  </si>
  <si>
    <t>-</t>
  </si>
  <si>
    <t>ha LF</t>
  </si>
  <si>
    <t>Bodenfläche (Flächenerhebung) insg.</t>
  </si>
  <si>
    <t xml:space="preserve">Bevölkerungsdichte </t>
  </si>
  <si>
    <t>Anteil der Land- und Forstwirtschaft</t>
  </si>
  <si>
    <t>darunter Land- und Forstwirtschaft</t>
  </si>
  <si>
    <r>
      <t>Flächennutzung</t>
    </r>
    <r>
      <rPr>
        <b/>
        <sz val="12"/>
        <rFont val="Arial"/>
        <family val="2"/>
      </rPr>
      <t xml:space="preserve"> und Bevölkerung </t>
    </r>
  </si>
  <si>
    <t>Bruttowertschöpfung insgesamt</t>
  </si>
  <si>
    <t>Wohnbevölkerung</t>
  </si>
  <si>
    <t>Landwirtschaftliche Betriebsstruktur</t>
  </si>
  <si>
    <t>Ø Betriebsgröße (Betriebe ab 2 ha LF)</t>
  </si>
  <si>
    <t>im Nebenerwerb</t>
  </si>
  <si>
    <t>Bodennutzung</t>
  </si>
  <si>
    <t xml:space="preserve">Landwirtschaftlich genutzte Fläche (LF)   </t>
  </si>
  <si>
    <t xml:space="preserve">Landwirtschaftlich gen. Fläche (LF)   </t>
  </si>
  <si>
    <t>davon Ackerland</t>
  </si>
  <si>
    <r>
      <t>Viehhaltung</t>
    </r>
    <r>
      <rPr>
        <b/>
        <vertAlign val="superscript"/>
        <sz val="12"/>
        <rFont val="Arial"/>
        <family val="2"/>
      </rPr>
      <t/>
    </r>
  </si>
  <si>
    <t xml:space="preserve">Rinder    </t>
  </si>
  <si>
    <t>Schweine</t>
  </si>
  <si>
    <t>Schafe</t>
  </si>
  <si>
    <t>Großvieheinheiten</t>
  </si>
  <si>
    <t>Milchkühe</t>
  </si>
  <si>
    <t>1) Summe aus Gebäude-, Betriebs-, Erholungs- und Verkehrsfläche</t>
  </si>
  <si>
    <t xml:space="preserve"> Daten aus dem Gemeinsamen Antrag</t>
  </si>
  <si>
    <t>Anteil an der landw. genutzten Fläche</t>
  </si>
  <si>
    <t xml:space="preserve">Benachteiligte Gebiete </t>
  </si>
  <si>
    <t>Ökobetriebe</t>
  </si>
  <si>
    <t>Landwirtschaftl. Betriebe (ab 2 ha LF)</t>
  </si>
  <si>
    <t>Betriebswirtschaftliche Ausrichtung</t>
  </si>
  <si>
    <t>Ackerbaubetriebe</t>
  </si>
  <si>
    <t>Gartenbaubetriebe</t>
  </si>
  <si>
    <t>Dauerkulturbetriebe</t>
  </si>
  <si>
    <t>Weideviehbetriebe</t>
  </si>
  <si>
    <t>Veredlungsbetriebe</t>
  </si>
  <si>
    <t>Verbundbetriebe</t>
  </si>
  <si>
    <t>Antragsteller</t>
  </si>
  <si>
    <t>Schläge</t>
  </si>
  <si>
    <t>Schläge / Antrag</t>
  </si>
  <si>
    <t>Ø Schlaggröße Ackerland</t>
  </si>
  <si>
    <t>Ø Schlaggröße Dauergrünland</t>
  </si>
  <si>
    <t>Ø Schlaggröße Dauerkulturen</t>
  </si>
  <si>
    <t>Strukturdaten Landwirtschaft</t>
  </si>
  <si>
    <t>Milchleistung</t>
  </si>
  <si>
    <t>Milchanlieferung an die Molkereien</t>
  </si>
  <si>
    <t>im benachteiligten Gebiet</t>
  </si>
  <si>
    <t>Milchertrag</t>
  </si>
  <si>
    <t>an Molkereien geliefert</t>
  </si>
  <si>
    <t xml:space="preserve">Flächennutzung und Bevölkerung </t>
  </si>
  <si>
    <t>Viehhaltung</t>
  </si>
  <si>
    <t>S</t>
  </si>
  <si>
    <t>SKR</t>
  </si>
  <si>
    <t>LKR</t>
  </si>
  <si>
    <t>LB</t>
  </si>
  <si>
    <t>BB</t>
  </si>
  <si>
    <t>ES</t>
  </si>
  <si>
    <t>GP</t>
  </si>
  <si>
    <t>WN</t>
  </si>
  <si>
    <t>HN</t>
  </si>
  <si>
    <t>KÜN</t>
  </si>
  <si>
    <t>SHA</t>
  </si>
  <si>
    <t>TBB</t>
  </si>
  <si>
    <t>HDH</t>
  </si>
  <si>
    <t>BAD</t>
  </si>
  <si>
    <t>RA</t>
  </si>
  <si>
    <t>KA</t>
  </si>
  <si>
    <t>HD</t>
  </si>
  <si>
    <t>MA</t>
  </si>
  <si>
    <t>MOS</t>
  </si>
  <si>
    <t>PF</t>
  </si>
  <si>
    <t>CW</t>
  </si>
  <si>
    <t>FDS</t>
  </si>
  <si>
    <t>FR</t>
  </si>
  <si>
    <t>EM</t>
  </si>
  <si>
    <t>OG</t>
  </si>
  <si>
    <t>RW</t>
  </si>
  <si>
    <t>VS</t>
  </si>
  <si>
    <t>TUT</t>
  </si>
  <si>
    <t>KN</t>
  </si>
  <si>
    <t>LÖ</t>
  </si>
  <si>
    <t>WT</t>
  </si>
  <si>
    <t>RT</t>
  </si>
  <si>
    <t>TÜ</t>
  </si>
  <si>
    <t>BL</t>
  </si>
  <si>
    <t>UL</t>
  </si>
  <si>
    <t>BC</t>
  </si>
  <si>
    <t>FN</t>
  </si>
  <si>
    <t>RV</t>
  </si>
  <si>
    <t>SIG</t>
  </si>
  <si>
    <t>RP</t>
  </si>
  <si>
    <t>Land</t>
  </si>
  <si>
    <t>BW</t>
  </si>
  <si>
    <t>Heilbronn (S)</t>
  </si>
  <si>
    <t>Heilbronn (L)</t>
  </si>
  <si>
    <t>Stuttgart (S)</t>
  </si>
  <si>
    <t>Baden-Baden (S)</t>
  </si>
  <si>
    <t>Karlsruhe (S)</t>
  </si>
  <si>
    <t>Karlsruhe (L)</t>
  </si>
  <si>
    <t>Heidelberg (S)</t>
  </si>
  <si>
    <t>Mannheim (S)</t>
  </si>
  <si>
    <t>Pforzheim (S)</t>
  </si>
  <si>
    <t>Freiburg (S)</t>
  </si>
  <si>
    <t>Ulm (S)</t>
  </si>
  <si>
    <t>Stuttgart (RP)</t>
  </si>
  <si>
    <t>Karlsruhe (RP)</t>
  </si>
  <si>
    <t>Freiburg (RP)</t>
  </si>
  <si>
    <t>Tübingen (RP)</t>
  </si>
  <si>
    <t>ULB</t>
  </si>
  <si>
    <t>Ellwangen</t>
  </si>
  <si>
    <t>Backnang</t>
  </si>
  <si>
    <t>Bad Mergentheim</t>
  </si>
  <si>
    <t>Öhringen</t>
  </si>
  <si>
    <t>Ilshofen</t>
  </si>
  <si>
    <t>Horb</t>
  </si>
  <si>
    <t>Buchen</t>
  </si>
  <si>
    <t>Donaueschingen</t>
  </si>
  <si>
    <t>Offenburg</t>
  </si>
  <si>
    <t>Stockach</t>
  </si>
  <si>
    <t>Balingen</t>
  </si>
  <si>
    <t>Münsingen</t>
  </si>
  <si>
    <t>Friedrichshafen</t>
  </si>
  <si>
    <t>Betriebsinhaber im Haupterwerb</t>
  </si>
  <si>
    <t>Ludwigsburg (L)</t>
  </si>
  <si>
    <t>Böblingen (L)</t>
  </si>
  <si>
    <t>Esslingen (L)</t>
  </si>
  <si>
    <t>Göppingen (L)</t>
  </si>
  <si>
    <t>Heidenheim (L)</t>
  </si>
  <si>
    <t>Rastatt (L)</t>
  </si>
  <si>
    <t>Calw (L)</t>
  </si>
  <si>
    <t>Emmendingen (L)</t>
  </si>
  <si>
    <t>Rottweil (L)</t>
  </si>
  <si>
    <t>Tuttlingen (L)</t>
  </si>
  <si>
    <t>Lörrach (L)</t>
  </si>
  <si>
    <t>Waldshut (L)</t>
  </si>
  <si>
    <t>Tübingen (L)</t>
  </si>
  <si>
    <t>Biberach (L)</t>
  </si>
  <si>
    <t>Ravensburg (L)</t>
  </si>
  <si>
    <t>Sigmaringen (L)</t>
  </si>
  <si>
    <t>gelbes Feld = berechnetes Feld</t>
  </si>
  <si>
    <t>Landwirtschaftliche Grundstücksmarkt</t>
  </si>
  <si>
    <t>Ø Kaufpreis</t>
  </si>
  <si>
    <t>EUR/ha</t>
  </si>
  <si>
    <t>Landwirtschaftlicher Grundstücksmarkt</t>
  </si>
  <si>
    <t>Hektarerträge</t>
  </si>
  <si>
    <t>Getreide insg. (ohne Körnermais)</t>
  </si>
  <si>
    <t>dt/ha</t>
  </si>
  <si>
    <t>Zuckerrüben</t>
  </si>
  <si>
    <t>Winterraps</t>
  </si>
  <si>
    <t>Silomais</t>
  </si>
  <si>
    <r>
      <t xml:space="preserve">Hektarerträge </t>
    </r>
    <r>
      <rPr>
        <b/>
        <sz val="11"/>
        <rFont val="Arial"/>
        <family val="2"/>
      </rPr>
      <t>(nur Landkreise)</t>
    </r>
  </si>
  <si>
    <t>Vergleich mit Landes-Ø</t>
  </si>
  <si>
    <t xml:space="preserve"> Naturdenkmale, flächenhaft</t>
  </si>
  <si>
    <t>Landesdurchschnitt</t>
  </si>
  <si>
    <t>Breisgau-Hoch-schwarzwald</t>
  </si>
  <si>
    <t>Erwerbstätige (am Arbeitsort) insg.</t>
  </si>
  <si>
    <t>aktualisiert</t>
  </si>
  <si>
    <t>Waldfläche</t>
  </si>
  <si>
    <t>Übrige Nutzungsarten</t>
  </si>
  <si>
    <t>Nürtingen</t>
  </si>
  <si>
    <t>Herrenberg</t>
  </si>
  <si>
    <t>Bundesagentur für Arbeit, 2010</t>
  </si>
  <si>
    <t>Landesanstalt für Umwelt, Messungen und Naturschutz (LUBW), Schutzgebietsverzeichnis 2010</t>
  </si>
  <si>
    <t>Landesamt für Geoinformation und Landentwicklung (LGL) - Abteilung Geodatenzentrum (GDZ), Gemeinsamer Antrag 2009</t>
  </si>
  <si>
    <t>2) Bezogen auf alle zivilen Erwerbspersonen</t>
  </si>
  <si>
    <r>
      <t xml:space="preserve"> Schutzgebiete </t>
    </r>
    <r>
      <rPr>
        <b/>
        <vertAlign val="superscript"/>
        <sz val="10"/>
        <rFont val="Arial"/>
        <family val="2"/>
      </rPr>
      <t>3)</t>
    </r>
  </si>
  <si>
    <t xml:space="preserve">Quellen:  Statistisches Landesamt Baden-Württemberg, 2007-2010 </t>
  </si>
  <si>
    <t xml:space="preserve">Regierungsbezirk </t>
  </si>
  <si>
    <r>
      <t xml:space="preserve"> Schutzgebiete </t>
    </r>
    <r>
      <rPr>
        <b/>
        <vertAlign val="superscript"/>
        <sz val="12"/>
        <rFont val="Arial"/>
        <family val="2"/>
      </rPr>
      <t>3)</t>
    </r>
  </si>
  <si>
    <t>3) Da einzelne Schutzgebiete in mehreren Kreisen liegen, kommt es zu Mehrfachzählungen, welche eine Aggregation auf Regions- und Regierungsbezirksebene ausschließen.</t>
  </si>
  <si>
    <t>*) incl. SKR Heilbronn</t>
  </si>
  <si>
    <t>*) incl. SKR Stuttgart</t>
  </si>
  <si>
    <t>*) incl. SKR Baden-Baden</t>
  </si>
  <si>
    <t>*) incl. SKR Karlsruhe</t>
  </si>
  <si>
    <t>*) incl. SKRe Heidelberg und Mannheim</t>
  </si>
  <si>
    <t>*) incl. SKR Pforzheim</t>
  </si>
  <si>
    <t>*) incl. SKR Freiburg</t>
  </si>
  <si>
    <t>*) incl. SKR Ulm</t>
  </si>
  <si>
    <t>Ulm *)</t>
  </si>
  <si>
    <t>Breisach *)</t>
  </si>
  <si>
    <t>Pforzheim *)</t>
  </si>
  <si>
    <t>Sinsheim *)</t>
  </si>
  <si>
    <t>Karlsruhe *)</t>
  </si>
  <si>
    <t>Rastatt *)</t>
  </si>
  <si>
    <t>Ludwigsburg *)</t>
  </si>
  <si>
    <t>Heilbronn *)</t>
  </si>
  <si>
    <t xml:space="preserve"> </t>
  </si>
  <si>
    <t xml:space="preserve">Die Auswahl des Bezirks oder Kreises erfogt im Dropdownfeld in der Kopfzeile des </t>
  </si>
  <si>
    <t>Arbeitsblattes &lt;Strukturdaten&gt;</t>
  </si>
  <si>
    <t>Hinweise</t>
  </si>
  <si>
    <t xml:space="preserve"> FFH-Gebiete</t>
  </si>
  <si>
    <t xml:space="preserve"> Vogelschutzgebiete (SPA-Gebiete)</t>
  </si>
  <si>
    <t>Strukturdaten 2011</t>
  </si>
  <si>
    <t>*</t>
  </si>
  <si>
    <t>darunter andere Kühe (Mutterkühe)</t>
  </si>
  <si>
    <t>Milchkuhhalter</t>
  </si>
  <si>
    <t>Halter anderer Schweine</t>
  </si>
  <si>
    <t>Andere Schweine</t>
  </si>
  <si>
    <t>AA</t>
  </si>
  <si>
    <t>Einhufer (Pferde)</t>
  </si>
  <si>
    <t>* = Geheimhaltung oder Zahlenwert unbekannt; - = nichts vorhanden</t>
  </si>
  <si>
    <t>Tiere/Halter</t>
  </si>
  <si>
    <r>
      <t xml:space="preserve">davon Siedlungs- und Verkehrsfläche </t>
    </r>
    <r>
      <rPr>
        <vertAlign val="superscript"/>
        <sz val="10"/>
        <rFont val="Arial"/>
        <family val="2"/>
      </rPr>
      <t>1)</t>
    </r>
    <r>
      <rPr>
        <sz val="10"/>
        <rFont val="Arial"/>
        <family val="2"/>
      </rPr>
      <t xml:space="preserve"> </t>
    </r>
  </si>
  <si>
    <r>
      <t xml:space="preserve">Arbeitslosenquote (Jahresdurchschn.) </t>
    </r>
    <r>
      <rPr>
        <vertAlign val="superscript"/>
        <sz val="10"/>
        <rFont val="Arial"/>
        <family val="2"/>
      </rPr>
      <t>2)</t>
    </r>
  </si>
  <si>
    <t>Baum- und Beerenobst</t>
  </si>
  <si>
    <t>Rebflächen</t>
  </si>
  <si>
    <t>Jahresvergleich Strukturdaten</t>
  </si>
  <si>
    <t>Vergleichswerte für Excelzeilen 45-48:</t>
  </si>
  <si>
    <t>EUR/ha LF</t>
  </si>
  <si>
    <t>davon in Betrieben unter 5 ha</t>
  </si>
  <si>
    <t>5 bis unter 10 ha</t>
  </si>
  <si>
    <t>10 bis unter 20 ha</t>
  </si>
  <si>
    <t>20 bis unter 50 ha</t>
  </si>
  <si>
    <t>Landwirtschaftl. Betriebe insgesamt</t>
  </si>
  <si>
    <t>zwei Jahre verglichen werden.</t>
  </si>
  <si>
    <t>Im Arbeitsblatt &lt;Jahresvergleich&gt; können für den zuvor ausgewählten Bezirk oder Kreis</t>
  </si>
  <si>
    <t>Grundstücksverkäufe</t>
  </si>
  <si>
    <t>Ø Betriebsgröße (alle Betriebe)</t>
  </si>
  <si>
    <t>Entwicklung Betriebe ab 5 ha LF ggü. 2001</t>
  </si>
  <si>
    <t>Betriebe ab 5 ha</t>
  </si>
  <si>
    <t>Änderung Milchanlieferung ggü. 2001 bzw. 1991</t>
  </si>
  <si>
    <t>Änderg Anzahl Milchkühe ggü. 2001 bzw. 1991</t>
  </si>
  <si>
    <t>davon Benachteiligte Agrarzone</t>
  </si>
  <si>
    <t>davon Berggebiete</t>
  </si>
  <si>
    <t>x</t>
  </si>
  <si>
    <t>(x)</t>
  </si>
  <si>
    <t>Entwicklung Betriebe ab 5 ha LF von 2001 / 2001</t>
  </si>
  <si>
    <t>Änderung der Milchanlieferung 0 / 2001</t>
  </si>
  <si>
    <t>Änderung Anzahl Milchkühe 0 / 2001</t>
  </si>
  <si>
    <t>kA</t>
  </si>
  <si>
    <t xml:space="preserve">3) Da einzelne Schutzgebiete in mehreren Kreisen liegen, kommt es zu Mehrfachzählungen, welche eine Aggregation auf Regions- </t>
  </si>
  <si>
    <t>und Regierungsbezirksebene ausschließen.</t>
  </si>
  <si>
    <t>Änderungen ggü. Version 06.06.2011</t>
  </si>
  <si>
    <t>Statistik der Bundesagentur für Arbeit, 2011</t>
  </si>
  <si>
    <t>2010: Zeile   9 - Wohnbevölkerung    15.07.2011</t>
  </si>
  <si>
    <t>2010: Zeile 12 - darunter Land- und Forstwirtschaft    12.08.2011</t>
  </si>
  <si>
    <t>2010: Zeile 86 - Ø Kaufpreis    13.09.2011</t>
  </si>
  <si>
    <t>2010: Zeile 13 - Arbeitslosenquote 29.09.2011</t>
  </si>
  <si>
    <t>2007-2010: Zeile 14 +16: BWS 29.09.2011</t>
  </si>
  <si>
    <t>Durchschnittsbestand Andere Schweine</t>
  </si>
  <si>
    <t>Landwirtschaftl. Betriebe (ab 5 ha LF)</t>
  </si>
  <si>
    <t>Ø Betriebsgröße (Betriebe ab 5 ha LF)</t>
  </si>
  <si>
    <t xml:space="preserve"> -</t>
  </si>
  <si>
    <t>Sozialversicherungspflichtigte Beschäftigte</t>
  </si>
  <si>
    <t>Arbeitsmarkt und Wirtschaftsrechnung</t>
  </si>
  <si>
    <t>Arbeitskräfte i.d. Landwirtschaft</t>
  </si>
  <si>
    <t>BWS LW</t>
  </si>
  <si>
    <t>Neue Kennwerte:</t>
  </si>
  <si>
    <t xml:space="preserve">   - Arbeitskräfte in der Landwirtschaft</t>
  </si>
  <si>
    <t xml:space="preserve">   - Sozialversicherungspflichtige Beschäftigte</t>
  </si>
  <si>
    <t>Folgende Kennwerte sind nicht mehr enthalten:</t>
  </si>
  <si>
    <t xml:space="preserve">   - Betriebe mit Anbauflächen zur Biogaserzeugung</t>
  </si>
  <si>
    <t>Bundesanstalt für Arbeit 2011</t>
  </si>
  <si>
    <t>Quellen:  Statistisches Landesamt Baden-Württemberg, 2007-2011</t>
  </si>
  <si>
    <t>Landesanstalt für Umwelt, Messungen und Naturschutz (LUBW), Schutzgebietsverzeichnis 2011</t>
  </si>
  <si>
    <t>Landesamt für Geoinformation und Landentwicklung (LGL) - Abteilung Geodatenzentrum (GDZ), Gemeinsamer Antrag 2011</t>
  </si>
  <si>
    <t>Neu aufgenommen wurde auch ein Jahresvergleich auf Landesebene.</t>
  </si>
  <si>
    <t xml:space="preserve">Die blau markierten Merkmale (siehe Arbeitsblatt Strukturdaten) wurden gegenüber der </t>
  </si>
  <si>
    <t>Vorversion aktualisiert.</t>
  </si>
  <si>
    <t>zur Landwirtschaft in</t>
  </si>
  <si>
    <t>07171 / 917-410</t>
  </si>
  <si>
    <t>Bearbeitung:  R. Müller, LEL Schwäbisch Gmünd, Abt. 3</t>
  </si>
  <si>
    <t xml:space="preserve">Strukturdaten  </t>
  </si>
  <si>
    <t xml:space="preserve">      -</t>
  </si>
  <si>
    <t>Benachteiligtes gebiet</t>
  </si>
  <si>
    <t>BWS</t>
  </si>
  <si>
    <t>Stand: Januar 2012</t>
  </si>
  <si>
    <t xml:space="preserve">Hinweise </t>
  </si>
  <si>
    <t>2011: Zeile 77-82 - Gemeinsamer Antrag 27.01.2012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</si>
</sst>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3" formatCode="_-* #,##0.00\ _D_M_-;\-* #,##0.00\ _D_M_-;_-* &quot;-&quot;??\ _D_M_-;_-@_-"/>
    <numFmt numFmtId="174" formatCode="0.0%"/>
    <numFmt numFmtId="175" formatCode="0.0"/>
    <numFmt numFmtId="179" formatCode="#,##0.0"/>
    <numFmt numFmtId="182" formatCode="\+\ \ 0.0;\-\ \ 0.0"/>
    <numFmt numFmtId="197" formatCode="_-* #,##0.0\ _D_M_-;\-* #,##0.0\ _D_M_-;_-* &quot;-&quot;??\ _D_M_-;_-@_-"/>
    <numFmt numFmtId="198" formatCode="_-* #,##0\ _D_M_-;\-* #,##0\ _D_M_-;_-* &quot;-&quot;??\ _D_M_-;_-@_-"/>
    <numFmt numFmtId="202" formatCode="#,##0.000"/>
    <numFmt numFmtId="203" formatCode="0.0\ %__"/>
  </numFmts>
  <fonts count="36">
    <font>
      <sz val="10"/>
      <name val="Arial"/>
    </font>
    <font>
      <sz val="10"/>
      <name val="Arial"/>
    </font>
    <font>
      <b/>
      <sz val="12"/>
      <name val="Arial"/>
      <family val="2"/>
    </font>
    <font>
      <b/>
      <sz val="10"/>
      <name val="Arial"/>
      <family val="2"/>
    </font>
    <font>
      <sz val="10"/>
      <name val="Arial"/>
      <family val="2"/>
    </font>
    <font>
      <i/>
      <sz val="10"/>
      <name val="Arial"/>
      <family val="2"/>
    </font>
    <font>
      <b/>
      <i/>
      <sz val="10"/>
      <name val="Arial"/>
      <family val="2"/>
    </font>
    <font>
      <b/>
      <sz val="16"/>
      <name val="Arial"/>
      <family val="2"/>
    </font>
    <font>
      <b/>
      <sz val="14"/>
      <name val="Arial"/>
      <family val="2"/>
    </font>
    <font>
      <i/>
      <sz val="8"/>
      <name val="Arial"/>
      <family val="2"/>
    </font>
    <font>
      <u/>
      <sz val="10"/>
      <color indexed="12"/>
      <name val="Arial"/>
    </font>
    <font>
      <b/>
      <vertAlign val="superscript"/>
      <sz val="12"/>
      <name val="Arial"/>
      <family val="2"/>
    </font>
    <font>
      <sz val="10"/>
      <color indexed="10"/>
      <name val="Arial"/>
    </font>
    <font>
      <sz val="8"/>
      <color indexed="81"/>
      <name val="Tahoma"/>
    </font>
    <font>
      <b/>
      <sz val="18"/>
      <name val="Arial"/>
      <family val="2"/>
    </font>
    <font>
      <b/>
      <sz val="22"/>
      <name val="Arial"/>
      <family val="2"/>
    </font>
    <font>
      <sz val="8"/>
      <color indexed="81"/>
      <name val="Tahoma"/>
      <family val="2"/>
    </font>
    <font>
      <sz val="9"/>
      <name val="Arial"/>
      <family val="2"/>
    </font>
    <font>
      <i/>
      <sz val="9"/>
      <name val="Arial"/>
      <family val="2"/>
    </font>
    <font>
      <sz val="6"/>
      <name val="Arial"/>
      <family val="2"/>
    </font>
    <font>
      <b/>
      <sz val="11"/>
      <name val="Arial"/>
      <family val="2"/>
    </font>
    <font>
      <b/>
      <sz val="8"/>
      <color indexed="81"/>
      <name val="Tahoma"/>
    </font>
    <font>
      <i/>
      <sz val="6"/>
      <name val="Arial"/>
      <family val="2"/>
    </font>
    <font>
      <sz val="10"/>
      <color indexed="12"/>
      <name val="Arial"/>
      <family val="2"/>
    </font>
    <font>
      <sz val="8"/>
      <name val="Arial"/>
      <family val="2"/>
    </font>
    <font>
      <sz val="8"/>
      <color indexed="12"/>
      <name val="Arial"/>
      <family val="2"/>
    </font>
    <font>
      <b/>
      <sz val="10"/>
      <color indexed="12"/>
      <name val="Arial"/>
      <family val="2"/>
    </font>
    <font>
      <b/>
      <vertAlign val="superscript"/>
      <sz val="10"/>
      <name val="Arial"/>
      <family val="2"/>
    </font>
    <font>
      <sz val="10"/>
      <color indexed="10"/>
      <name val="Arial"/>
      <family val="2"/>
    </font>
    <font>
      <sz val="12"/>
      <name val="Arial"/>
      <family val="2"/>
    </font>
    <font>
      <b/>
      <u/>
      <sz val="12"/>
      <color indexed="12"/>
      <name val="Arial"/>
      <family val="2"/>
    </font>
    <font>
      <vertAlign val="superscript"/>
      <sz val="10"/>
      <name val="Arial"/>
      <family val="2"/>
    </font>
    <font>
      <sz val="8"/>
      <color indexed="10"/>
      <name val="Arial"/>
      <family val="2"/>
    </font>
    <font>
      <sz val="9"/>
      <color indexed="12"/>
      <name val="Arial"/>
      <family val="2"/>
    </font>
    <font>
      <b/>
      <i/>
      <sz val="10"/>
      <color indexed="12"/>
      <name val="Arial"/>
      <family val="2"/>
    </font>
    <font>
      <i/>
      <sz val="10"/>
      <color indexed="12"/>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52"/>
        <bgColor indexed="64"/>
      </patternFill>
    </fill>
    <fill>
      <patternFill patternType="solid">
        <fgColor indexed="13"/>
        <bgColor indexed="64"/>
      </patternFill>
    </fill>
  </fills>
  <borders count="88">
    <border>
      <left/>
      <right/>
      <top/>
      <bottom/>
      <diagonal/>
    </border>
    <border>
      <left style="thick">
        <color indexed="64"/>
      </left>
      <right style="thick">
        <color indexed="64"/>
      </right>
      <top style="thick">
        <color indexed="64"/>
      </top>
      <bottom/>
      <diagonal/>
    </border>
    <border>
      <left style="thick">
        <color indexed="64"/>
      </left>
      <right style="thick">
        <color indexed="64"/>
      </right>
      <top/>
      <bottom/>
      <diagonal/>
    </border>
    <border>
      <left/>
      <right/>
      <top/>
      <bottom style="medium">
        <color indexed="64"/>
      </bottom>
      <diagonal/>
    </border>
    <border>
      <left style="thick">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ck">
        <color indexed="64"/>
      </right>
      <top style="medium">
        <color indexed="64"/>
      </top>
      <bottom style="thin">
        <color indexed="64"/>
      </bottom>
      <diagonal/>
    </border>
    <border>
      <left style="thick">
        <color indexed="64"/>
      </left>
      <right/>
      <top/>
      <bottom/>
      <diagonal/>
    </border>
    <border>
      <left/>
      <right style="medium">
        <color indexed="64"/>
      </right>
      <top/>
      <bottom/>
      <diagonal/>
    </border>
    <border>
      <left style="medium">
        <color indexed="64"/>
      </left>
      <right style="thin">
        <color indexed="64"/>
      </right>
      <top/>
      <bottom/>
      <diagonal/>
    </border>
    <border>
      <left/>
      <right style="thick">
        <color indexed="64"/>
      </right>
      <top/>
      <bottom/>
      <diagonal/>
    </border>
    <border>
      <left/>
      <right style="medium">
        <color indexed="64"/>
      </right>
      <top/>
      <bottom style="medium">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medium">
        <color indexed="64"/>
      </right>
      <top/>
      <bottom/>
      <diagonal/>
    </border>
    <border>
      <left style="thin">
        <color indexed="64"/>
      </left>
      <right style="thick">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thick">
        <color indexed="64"/>
      </top>
      <bottom/>
      <diagonal/>
    </border>
    <border>
      <left/>
      <right style="medium">
        <color indexed="64"/>
      </right>
      <top style="thick">
        <color indexed="64"/>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style="thick">
        <color indexed="64"/>
      </left>
      <right/>
      <top/>
      <bottom style="medium">
        <color indexed="64"/>
      </bottom>
      <diagonal/>
    </border>
    <border>
      <left style="medium">
        <color indexed="64"/>
      </left>
      <right/>
      <top/>
      <bottom style="thin">
        <color indexed="64"/>
      </bottom>
      <diagonal/>
    </border>
    <border>
      <left style="thick">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style="medium">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ck">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ck">
        <color indexed="64"/>
      </right>
      <top/>
      <bottom style="thick">
        <color indexed="64"/>
      </bottom>
      <diagonal/>
    </border>
    <border>
      <left style="medium">
        <color indexed="64"/>
      </left>
      <right style="thin">
        <color indexed="64"/>
      </right>
      <top/>
      <bottom style="thick">
        <color indexed="64"/>
      </bottom>
      <diagonal/>
    </border>
    <border>
      <left/>
      <right style="thin">
        <color indexed="64"/>
      </right>
      <top/>
      <bottom style="thick">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indexed="64"/>
      </right>
      <top/>
      <bottom style="thick">
        <color indexed="64"/>
      </bottom>
      <diagonal/>
    </border>
    <border>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right style="thick">
        <color indexed="64"/>
      </right>
      <top/>
      <bottom style="medium">
        <color indexed="64"/>
      </bottom>
      <diagonal/>
    </border>
    <border>
      <left/>
      <right/>
      <top/>
      <bottom style="thick">
        <color indexed="64"/>
      </bottom>
      <diagonal/>
    </border>
    <border>
      <left style="thin">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ck">
        <color indexed="64"/>
      </top>
      <bottom/>
      <diagonal/>
    </border>
    <border>
      <left style="medium">
        <color indexed="64"/>
      </left>
      <right/>
      <top style="thick">
        <color indexed="64"/>
      </top>
      <bottom/>
      <diagonal/>
    </border>
  </borders>
  <cellStyleXfs count="4">
    <xf numFmtId="0" fontId="0" fillId="0" borderId="0"/>
    <xf numFmtId="173" fontId="1" fillId="0" borderId="0" applyFont="0" applyFill="0" applyBorder="0" applyAlignment="0" applyProtection="0"/>
    <xf numFmtId="0" fontId="10" fillId="0" borderId="0" applyNumberFormat="0" applyFill="0" applyBorder="0" applyAlignment="0" applyProtection="0">
      <alignment vertical="top"/>
      <protection locked="0"/>
    </xf>
    <xf numFmtId="9" fontId="1" fillId="0" borderId="0" applyFont="0" applyFill="0" applyBorder="0" applyAlignment="0" applyProtection="0"/>
  </cellStyleXfs>
  <cellXfs count="524">
    <xf numFmtId="0" fontId="0" fillId="0" borderId="0" xfId="0"/>
    <xf numFmtId="0" fontId="14" fillId="0" borderId="0" xfId="0" applyFont="1" applyAlignment="1">
      <alignment horizontal="center"/>
    </xf>
    <xf numFmtId="0" fontId="14" fillId="0" borderId="1" xfId="0" applyFont="1" applyBorder="1" applyAlignment="1">
      <alignment horizontal="center"/>
    </xf>
    <xf numFmtId="0" fontId="14" fillId="0" borderId="2" xfId="0" applyFont="1" applyBorder="1" applyAlignment="1">
      <alignment horizontal="center"/>
    </xf>
    <xf numFmtId="0" fontId="15" fillId="0" borderId="2" xfId="0" applyFont="1" applyBorder="1" applyAlignment="1">
      <alignment horizontal="center" vertical="center"/>
    </xf>
    <xf numFmtId="0" fontId="14" fillId="0" borderId="2" xfId="0" applyFont="1" applyBorder="1" applyAlignment="1">
      <alignment horizontal="center" vertical="center"/>
    </xf>
    <xf numFmtId="0" fontId="17" fillId="0" borderId="0" xfId="0" applyFont="1" applyAlignment="1">
      <alignment vertical="center"/>
    </xf>
    <xf numFmtId="0" fontId="0" fillId="0" borderId="0" xfId="0" applyAlignment="1">
      <alignment vertical="center"/>
    </xf>
    <xf numFmtId="0" fontId="17" fillId="0" borderId="0" xfId="0" applyFont="1" applyAlignment="1">
      <alignment horizontal="center" vertical="center"/>
    </xf>
    <xf numFmtId="0" fontId="17" fillId="0" borderId="3" xfId="0" applyFont="1" applyBorder="1" applyAlignment="1">
      <alignment horizontal="center" vertical="center"/>
    </xf>
    <xf numFmtId="0" fontId="2" fillId="2" borderId="4" xfId="0" applyFont="1" applyFill="1" applyBorder="1" applyAlignment="1">
      <alignment horizontal="left" vertical="center" indent="1"/>
    </xf>
    <xf numFmtId="0" fontId="17" fillId="2" borderId="5" xfId="0" applyFont="1" applyFill="1" applyBorder="1" applyAlignment="1">
      <alignment horizontal="center" vertical="center"/>
    </xf>
    <xf numFmtId="0" fontId="17" fillId="2" borderId="6" xfId="0" applyFont="1" applyFill="1" applyBorder="1" applyAlignment="1">
      <alignment vertical="center"/>
    </xf>
    <xf numFmtId="0" fontId="0" fillId="2" borderId="7" xfId="0" applyFill="1" applyBorder="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vertical="center"/>
    </xf>
    <xf numFmtId="0" fontId="5" fillId="2" borderId="8" xfId="0" applyFont="1" applyFill="1" applyBorder="1" applyAlignment="1">
      <alignment horizontal="center" vertical="center"/>
    </xf>
    <xf numFmtId="0" fontId="0" fillId="0" borderId="0" xfId="0" applyFill="1" applyAlignment="1">
      <alignment vertical="center"/>
    </xf>
    <xf numFmtId="0" fontId="3" fillId="0" borderId="9" xfId="0" applyFont="1" applyFill="1" applyBorder="1" applyAlignment="1">
      <alignment horizontal="left" vertical="center" indent="1"/>
    </xf>
    <xf numFmtId="0" fontId="17" fillId="0" borderId="0" xfId="0" applyFont="1" applyFill="1" applyBorder="1" applyAlignment="1">
      <alignment horizontal="center" vertical="center"/>
    </xf>
    <xf numFmtId="0" fontId="17" fillId="0" borderId="10" xfId="0" applyFont="1" applyFill="1" applyBorder="1" applyAlignment="1">
      <alignment horizontal="center" vertical="center"/>
    </xf>
    <xf numFmtId="3" fontId="3" fillId="0" borderId="11" xfId="0" applyNumberFormat="1" applyFont="1" applyBorder="1" applyAlignment="1">
      <alignment vertical="center"/>
    </xf>
    <xf numFmtId="9" fontId="6" fillId="0" borderId="10" xfId="3" applyFont="1" applyBorder="1" applyAlignment="1">
      <alignment vertical="center"/>
    </xf>
    <xf numFmtId="9" fontId="6" fillId="0" borderId="12" xfId="3" applyFont="1" applyBorder="1" applyAlignment="1">
      <alignment vertical="center"/>
    </xf>
    <xf numFmtId="0" fontId="12" fillId="0" borderId="0" xfId="0" applyFont="1" applyAlignment="1">
      <alignment vertical="center"/>
    </xf>
    <xf numFmtId="9" fontId="5" fillId="0" borderId="10" xfId="3" applyFont="1" applyBorder="1" applyAlignment="1">
      <alignment vertical="center"/>
    </xf>
    <xf numFmtId="9" fontId="5" fillId="0" borderId="12" xfId="3" applyFont="1" applyBorder="1" applyAlignment="1">
      <alignment vertical="center"/>
    </xf>
    <xf numFmtId="0" fontId="6" fillId="0" borderId="10" xfId="0" applyFont="1" applyBorder="1" applyAlignment="1">
      <alignment vertical="center"/>
    </xf>
    <xf numFmtId="0" fontId="5" fillId="0" borderId="12" xfId="0" applyFont="1" applyBorder="1" applyAlignment="1">
      <alignment vertical="center"/>
    </xf>
    <xf numFmtId="0" fontId="5" fillId="0" borderId="10" xfId="0" applyFont="1" applyBorder="1" applyAlignment="1">
      <alignment vertical="center"/>
    </xf>
    <xf numFmtId="174" fontId="5" fillId="0" borderId="10" xfId="3" applyNumberFormat="1" applyFont="1" applyBorder="1" applyAlignment="1">
      <alignment vertical="center"/>
    </xf>
    <xf numFmtId="0" fontId="17" fillId="3" borderId="0" xfId="0" applyFont="1" applyFill="1" applyBorder="1" applyAlignment="1">
      <alignment horizontal="center" vertical="center"/>
    </xf>
    <xf numFmtId="0" fontId="17" fillId="0" borderId="10" xfId="0" applyFont="1" applyBorder="1" applyAlignment="1">
      <alignment horizontal="center" vertical="center"/>
    </xf>
    <xf numFmtId="0" fontId="3" fillId="0" borderId="9" xfId="0" applyFont="1" applyBorder="1" applyAlignment="1">
      <alignment horizontal="left" vertical="center" indent="1"/>
    </xf>
    <xf numFmtId="0" fontId="17" fillId="0" borderId="0" xfId="0" applyFont="1" applyBorder="1" applyAlignment="1">
      <alignment horizontal="center" vertical="center"/>
    </xf>
    <xf numFmtId="0" fontId="17" fillId="0" borderId="13" xfId="0" applyFont="1" applyBorder="1" applyAlignment="1">
      <alignment horizontal="center" vertical="center"/>
    </xf>
    <xf numFmtId="0" fontId="17" fillId="3" borderId="10" xfId="0" applyFont="1" applyFill="1" applyBorder="1" applyAlignment="1">
      <alignment horizontal="center" vertical="center"/>
    </xf>
    <xf numFmtId="0" fontId="17" fillId="2" borderId="6" xfId="0" applyFont="1" applyFill="1" applyBorder="1" applyAlignment="1">
      <alignment horizontal="right" vertical="center"/>
    </xf>
    <xf numFmtId="0" fontId="18" fillId="0" borderId="0" xfId="0" applyFont="1" applyFill="1" applyBorder="1" applyAlignment="1">
      <alignment horizontal="center" vertical="center"/>
    </xf>
    <xf numFmtId="0" fontId="18" fillId="0" borderId="0" xfId="0" applyFont="1" applyAlignment="1">
      <alignment horizontal="center" vertical="center"/>
    </xf>
    <xf numFmtId="0" fontId="2" fillId="2" borderId="14" xfId="0" applyFont="1" applyFill="1" applyBorder="1" applyAlignment="1">
      <alignment horizontal="left" vertical="center" indent="1"/>
    </xf>
    <xf numFmtId="0" fontId="17" fillId="2" borderId="15" xfId="0" applyFont="1" applyFill="1" applyBorder="1" applyAlignment="1">
      <alignment horizontal="center" vertical="center"/>
    </xf>
    <xf numFmtId="0" fontId="17"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174" fontId="5" fillId="0" borderId="19" xfId="0" applyNumberFormat="1" applyFont="1" applyBorder="1" applyAlignment="1">
      <alignment vertical="center"/>
    </xf>
    <xf numFmtId="174" fontId="5" fillId="0" borderId="20" xfId="0" applyNumberFormat="1" applyFont="1" applyBorder="1" applyAlignment="1">
      <alignment vertical="center"/>
    </xf>
    <xf numFmtId="0" fontId="17" fillId="2" borderId="6"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22" xfId="0" applyFont="1" applyFill="1" applyBorder="1" applyAlignment="1">
      <alignment horizontal="center" vertical="center"/>
    </xf>
    <xf numFmtId="0" fontId="17" fillId="0" borderId="3" xfId="0" applyFont="1" applyFill="1" applyBorder="1" applyAlignment="1">
      <alignment horizontal="center" vertical="center"/>
    </xf>
    <xf numFmtId="3" fontId="4" fillId="0" borderId="11" xfId="0" applyNumberFormat="1" applyFont="1" applyBorder="1" applyAlignment="1">
      <alignment vertical="center"/>
    </xf>
    <xf numFmtId="3" fontId="4" fillId="0" borderId="11" xfId="0" applyNumberFormat="1" applyFont="1" applyFill="1"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4" fillId="0" borderId="0" xfId="0" applyFont="1" applyBorder="1"/>
    <xf numFmtId="0" fontId="0" fillId="0" borderId="0" xfId="0" applyBorder="1"/>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horizontal="left" indent="2"/>
    </xf>
    <xf numFmtId="0" fontId="0" fillId="4" borderId="27" xfId="0" applyFill="1" applyBorder="1" applyAlignment="1">
      <alignment horizontal="left" indent="2"/>
    </xf>
    <xf numFmtId="0" fontId="0" fillId="3" borderId="27" xfId="0" applyFill="1" applyBorder="1" applyAlignment="1">
      <alignment horizontal="left" indent="2"/>
    </xf>
    <xf numFmtId="0" fontId="4" fillId="4" borderId="27" xfId="0" applyFont="1" applyFill="1" applyBorder="1" applyAlignment="1">
      <alignment horizontal="left" indent="2"/>
    </xf>
    <xf numFmtId="0" fontId="4" fillId="0" borderId="27" xfId="0" applyFont="1" applyBorder="1" applyAlignment="1">
      <alignment horizontal="left" vertical="center" indent="2"/>
    </xf>
    <xf numFmtId="0" fontId="4" fillId="0" borderId="28" xfId="0" applyFont="1" applyBorder="1" applyAlignment="1">
      <alignment horizontal="left" vertical="center" indent="2"/>
    </xf>
    <xf numFmtId="0" fontId="4" fillId="0" borderId="0" xfId="0" applyFont="1" applyBorder="1" applyAlignment="1">
      <alignment horizontal="left" vertical="center" indent="2"/>
    </xf>
    <xf numFmtId="0" fontId="0" fillId="0" borderId="0" xfId="0" applyAlignment="1">
      <alignment horizontal="left" indent="2"/>
    </xf>
    <xf numFmtId="0" fontId="3" fillId="0" borderId="27" xfId="0" applyFont="1" applyBorder="1" applyAlignment="1">
      <alignment horizontal="left"/>
    </xf>
    <xf numFmtId="0" fontId="17" fillId="5" borderId="29" xfId="0" applyFont="1" applyFill="1" applyBorder="1" applyAlignment="1">
      <alignment horizontal="center" vertical="center"/>
    </xf>
    <xf numFmtId="0" fontId="17" fillId="5" borderId="30" xfId="0" applyFont="1" applyFill="1" applyBorder="1" applyAlignment="1">
      <alignment horizontal="left" vertical="center"/>
    </xf>
    <xf numFmtId="0" fontId="17" fillId="5" borderId="13" xfId="0" applyFont="1" applyFill="1" applyBorder="1" applyAlignment="1">
      <alignment vertical="center"/>
    </xf>
    <xf numFmtId="0" fontId="9" fillId="0" borderId="0" xfId="0" applyFont="1" applyFill="1" applyBorder="1" applyAlignment="1">
      <alignment horizontal="left" vertical="center" indent="1"/>
    </xf>
    <xf numFmtId="0" fontId="2" fillId="2" borderId="31" xfId="0" applyFont="1" applyFill="1" applyBorder="1" applyAlignment="1">
      <alignment horizontal="left" vertical="center" indent="1"/>
    </xf>
    <xf numFmtId="0" fontId="22" fillId="2" borderId="21" xfId="0" applyFont="1" applyFill="1" applyBorder="1" applyAlignment="1">
      <alignment horizontal="center" vertical="center" wrapText="1"/>
    </xf>
    <xf numFmtId="0" fontId="23" fillId="0" borderId="27" xfId="0" applyFont="1" applyBorder="1" applyAlignment="1">
      <alignment horizontal="left" indent="2"/>
    </xf>
    <xf numFmtId="0" fontId="23" fillId="4" borderId="27" xfId="0" applyFont="1" applyFill="1" applyBorder="1" applyAlignment="1">
      <alignment horizontal="left" indent="2"/>
    </xf>
    <xf numFmtId="0" fontId="4" fillId="0" borderId="9" xfId="0" applyFont="1" applyFill="1" applyBorder="1" applyAlignment="1">
      <alignment horizontal="left" vertical="center" indent="2"/>
    </xf>
    <xf numFmtId="0" fontId="4" fillId="3" borderId="9" xfId="0" applyFont="1" applyFill="1" applyBorder="1" applyAlignment="1">
      <alignment horizontal="left" vertical="center" indent="2"/>
    </xf>
    <xf numFmtId="0" fontId="9" fillId="2" borderId="5" xfId="0" applyFont="1" applyFill="1" applyBorder="1" applyAlignment="1">
      <alignment vertical="center"/>
    </xf>
    <xf numFmtId="0" fontId="24" fillId="0" borderId="0" xfId="0" applyFont="1"/>
    <xf numFmtId="0" fontId="24" fillId="0" borderId="0" xfId="0" applyFont="1" applyBorder="1"/>
    <xf numFmtId="0" fontId="0" fillId="4" borderId="3" xfId="0" applyFill="1" applyBorder="1" applyAlignment="1">
      <alignment horizontal="left" indent="2"/>
    </xf>
    <xf numFmtId="1" fontId="3" fillId="0" borderId="11" xfId="0" applyNumberFormat="1" applyFont="1" applyFill="1" applyBorder="1" applyAlignment="1">
      <alignment vertical="center"/>
    </xf>
    <xf numFmtId="0" fontId="19" fillId="0" borderId="0" xfId="0" applyFont="1" applyAlignment="1">
      <alignment horizontal="left" indent="1"/>
    </xf>
    <xf numFmtId="0" fontId="0" fillId="0" borderId="0" xfId="0" applyAlignment="1">
      <alignment horizontal="left" indent="1"/>
    </xf>
    <xf numFmtId="0" fontId="19" fillId="0" borderId="0" xfId="0" applyFont="1" applyAlignment="1">
      <alignment horizontal="left" indent="4"/>
    </xf>
    <xf numFmtId="0" fontId="9" fillId="0" borderId="0" xfId="0" applyFont="1" applyFill="1" applyBorder="1" applyAlignment="1">
      <alignment horizontal="left" vertical="center" indent="5"/>
    </xf>
    <xf numFmtId="0" fontId="0" fillId="0" borderId="32" xfId="0" applyBorder="1" applyAlignment="1">
      <alignment vertical="center"/>
    </xf>
    <xf numFmtId="0" fontId="0" fillId="0" borderId="33" xfId="0" applyBorder="1" applyAlignment="1">
      <alignment vertical="center"/>
    </xf>
    <xf numFmtId="0" fontId="0" fillId="3" borderId="0" xfId="0" applyFill="1" applyBorder="1" applyAlignment="1">
      <alignment vertical="center"/>
    </xf>
    <xf numFmtId="0" fontId="4" fillId="6" borderId="34" xfId="0" applyFont="1" applyFill="1" applyBorder="1" applyAlignment="1">
      <alignment vertical="center"/>
    </xf>
    <xf numFmtId="0" fontId="4" fillId="3" borderId="27" xfId="0" applyFont="1" applyFill="1" applyBorder="1" applyAlignment="1">
      <alignment horizontal="left" vertical="center"/>
    </xf>
    <xf numFmtId="0" fontId="4" fillId="3" borderId="0" xfId="0" applyFont="1" applyFill="1" applyBorder="1" applyAlignment="1">
      <alignment horizontal="left" vertical="center"/>
    </xf>
    <xf numFmtId="0" fontId="28" fillId="0" borderId="0" xfId="0" applyFont="1"/>
    <xf numFmtId="0" fontId="0" fillId="2" borderId="35" xfId="0" applyFill="1" applyBorder="1" applyAlignment="1">
      <alignment horizontal="left" indent="2"/>
    </xf>
    <xf numFmtId="0" fontId="0" fillId="2" borderId="36" xfId="0" applyFill="1" applyBorder="1"/>
    <xf numFmtId="0" fontId="0" fillId="2" borderId="37" xfId="0" applyFill="1" applyBorder="1"/>
    <xf numFmtId="0" fontId="0" fillId="2" borderId="27" xfId="0" applyFill="1" applyBorder="1" applyAlignment="1">
      <alignment horizontal="left" indent="2"/>
    </xf>
    <xf numFmtId="0" fontId="0" fillId="2" borderId="0" xfId="0" applyFill="1" applyBorder="1"/>
    <xf numFmtId="0" fontId="24" fillId="2" borderId="10" xfId="0" applyFont="1" applyFill="1" applyBorder="1"/>
    <xf numFmtId="0" fontId="0" fillId="2" borderId="10" xfId="0" applyFill="1" applyBorder="1"/>
    <xf numFmtId="0" fontId="7" fillId="5" borderId="38" xfId="0" applyFont="1" applyFill="1" applyBorder="1" applyAlignment="1">
      <alignment horizontal="left" vertical="center" indent="7"/>
    </xf>
    <xf numFmtId="0" fontId="3" fillId="0" borderId="0" xfId="0" applyFont="1" applyAlignment="1">
      <alignment horizontal="left" vertical="center" indent="1"/>
    </xf>
    <xf numFmtId="0" fontId="29" fillId="0" borderId="0" xfId="0" applyFont="1" applyAlignment="1">
      <alignment horizontal="left"/>
    </xf>
    <xf numFmtId="0" fontId="20" fillId="5" borderId="39" xfId="0" applyFont="1" applyFill="1" applyBorder="1" applyAlignment="1">
      <alignment horizontal="center" vertical="center"/>
    </xf>
    <xf numFmtId="0" fontId="30" fillId="0" borderId="0" xfId="2" applyFont="1" applyAlignment="1" applyProtection="1">
      <alignment horizontal="right" vertical="center"/>
    </xf>
    <xf numFmtId="0" fontId="4" fillId="0" borderId="27" xfId="0" applyFont="1" applyBorder="1" applyAlignment="1">
      <alignment horizontal="left" indent="2"/>
    </xf>
    <xf numFmtId="0" fontId="4" fillId="4" borderId="40" xfId="0" applyFont="1" applyFill="1" applyBorder="1" applyAlignment="1">
      <alignment horizontal="left" indent="2"/>
    </xf>
    <xf numFmtId="0" fontId="24" fillId="0" borderId="0" xfId="0" applyFont="1" applyAlignment="1">
      <alignment vertical="center"/>
    </xf>
    <xf numFmtId="0" fontId="4" fillId="0" borderId="9" xfId="0" applyFont="1" applyFill="1" applyBorder="1" applyAlignment="1">
      <alignment horizontal="left" vertical="center" indent="1"/>
    </xf>
    <xf numFmtId="0" fontId="4" fillId="0" borderId="9" xfId="0" applyFont="1" applyFill="1" applyBorder="1" applyAlignment="1">
      <alignment horizontal="left" vertical="center" indent="4"/>
    </xf>
    <xf numFmtId="179" fontId="4" fillId="0" borderId="11" xfId="0" applyNumberFormat="1" applyFont="1" applyBorder="1" applyAlignment="1">
      <alignment vertical="center"/>
    </xf>
    <xf numFmtId="0" fontId="4" fillId="0" borderId="9" xfId="0" applyFont="1" applyBorder="1" applyAlignment="1">
      <alignment horizontal="left" vertical="center" indent="2"/>
    </xf>
    <xf numFmtId="3" fontId="4" fillId="0" borderId="11" xfId="0" applyNumberFormat="1" applyFont="1" applyBorder="1" applyAlignment="1">
      <alignment horizontal="right" vertical="center"/>
    </xf>
    <xf numFmtId="182" fontId="4" fillId="3" borderId="11" xfId="0" applyNumberFormat="1" applyFont="1" applyFill="1" applyBorder="1" applyAlignment="1">
      <alignment horizontal="right" vertical="center"/>
    </xf>
    <xf numFmtId="182" fontId="4" fillId="0" borderId="11" xfId="0" applyNumberFormat="1" applyFont="1" applyBorder="1" applyAlignment="1">
      <alignment horizontal="right" vertical="center"/>
    </xf>
    <xf numFmtId="0" fontId="4" fillId="0" borderId="41" xfId="0" applyFont="1" applyBorder="1" applyAlignment="1">
      <alignment horizontal="left" vertical="center" indent="2"/>
    </xf>
    <xf numFmtId="0" fontId="17" fillId="0" borderId="42" xfId="0" applyFont="1" applyBorder="1" applyAlignment="1">
      <alignment horizontal="center" vertical="center"/>
    </xf>
    <xf numFmtId="0" fontId="4" fillId="2" borderId="15" xfId="0" applyFont="1" applyFill="1" applyBorder="1" applyAlignment="1">
      <alignment vertical="center"/>
    </xf>
    <xf numFmtId="3" fontId="4" fillId="0" borderId="0" xfId="0" applyNumberFormat="1" applyFont="1" applyBorder="1" applyAlignment="1">
      <alignment vertical="center"/>
    </xf>
    <xf numFmtId="0" fontId="4" fillId="0" borderId="9" xfId="0" applyFont="1" applyBorder="1" applyAlignment="1">
      <alignment horizontal="left" vertical="center" indent="1"/>
    </xf>
    <xf numFmtId="0" fontId="4" fillId="2" borderId="5" xfId="0" applyFont="1" applyFill="1" applyBorder="1" applyAlignment="1">
      <alignment vertical="center"/>
    </xf>
    <xf numFmtId="0" fontId="4" fillId="0" borderId="39" xfId="0" applyFont="1" applyBorder="1" applyAlignment="1">
      <alignment horizontal="left" vertical="center" indent="2"/>
    </xf>
    <xf numFmtId="3" fontId="4" fillId="0" borderId="43" xfId="0" applyNumberFormat="1" applyFont="1" applyBorder="1" applyAlignment="1">
      <alignment vertical="center"/>
    </xf>
    <xf numFmtId="0" fontId="23" fillId="3" borderId="27" xfId="0" applyFont="1" applyFill="1" applyBorder="1" applyAlignment="1">
      <alignment horizontal="left" indent="2"/>
    </xf>
    <xf numFmtId="0" fontId="0" fillId="0" borderId="0" xfId="0" applyBorder="1" applyAlignment="1">
      <alignment vertical="center"/>
    </xf>
    <xf numFmtId="0" fontId="0" fillId="0" borderId="0" xfId="0" applyFill="1" applyBorder="1" applyAlignment="1">
      <alignment vertical="center"/>
    </xf>
    <xf numFmtId="0" fontId="4" fillId="6" borderId="32" xfId="0" applyFont="1" applyFill="1" applyBorder="1" applyAlignment="1">
      <alignment vertical="center"/>
    </xf>
    <xf numFmtId="0" fontId="4" fillId="6" borderId="44" xfId="0" applyFont="1" applyFill="1" applyBorder="1" applyAlignment="1">
      <alignment vertical="center"/>
    </xf>
    <xf numFmtId="0" fontId="4" fillId="3" borderId="33" xfId="0" applyFont="1" applyFill="1" applyBorder="1" applyAlignment="1">
      <alignment horizontal="left" vertical="center"/>
    </xf>
    <xf numFmtId="0" fontId="0" fillId="0" borderId="45" xfId="0" applyBorder="1" applyAlignment="1">
      <alignment vertical="center"/>
    </xf>
    <xf numFmtId="0" fontId="28" fillId="0" borderId="0" xfId="0" applyFont="1" applyFill="1" applyBorder="1"/>
    <xf numFmtId="0" fontId="28" fillId="0" borderId="27" xfId="0" applyFont="1" applyBorder="1" applyAlignment="1">
      <alignment horizontal="center"/>
    </xf>
    <xf numFmtId="0" fontId="28" fillId="0" borderId="0" xfId="0" applyFont="1" applyBorder="1" applyAlignment="1">
      <alignment horizontal="center"/>
    </xf>
    <xf numFmtId="0" fontId="2" fillId="5" borderId="3" xfId="0" applyFont="1" applyFill="1" applyBorder="1" applyAlignment="1">
      <alignment horizontal="center" vertical="center"/>
    </xf>
    <xf numFmtId="0" fontId="5" fillId="2" borderId="46" xfId="0" applyFont="1" applyFill="1" applyBorder="1" applyAlignment="1">
      <alignment vertical="center"/>
    </xf>
    <xf numFmtId="0" fontId="2" fillId="5" borderId="43" xfId="0" applyFont="1" applyFill="1" applyBorder="1" applyAlignment="1">
      <alignment horizontal="center" vertical="center"/>
    </xf>
    <xf numFmtId="0" fontId="4" fillId="0" borderId="39" xfId="0" applyFont="1" applyBorder="1" applyAlignment="1">
      <alignment horizontal="left" vertical="center" indent="10"/>
    </xf>
    <xf numFmtId="0" fontId="3" fillId="3" borderId="9" xfId="0" applyFont="1" applyFill="1" applyBorder="1" applyAlignment="1">
      <alignment horizontal="left" vertical="center" indent="1"/>
    </xf>
    <xf numFmtId="0" fontId="4" fillId="3" borderId="9" xfId="0" applyFont="1" applyFill="1" applyBorder="1" applyAlignment="1">
      <alignment horizontal="left" vertical="center" indent="1"/>
    </xf>
    <xf numFmtId="0" fontId="4" fillId="3" borderId="9" xfId="0" applyFont="1" applyFill="1" applyBorder="1" applyAlignment="1">
      <alignment horizontal="left" vertical="center" indent="4"/>
    </xf>
    <xf numFmtId="0" fontId="4" fillId="3" borderId="41" xfId="0" applyFont="1" applyFill="1" applyBorder="1" applyAlignment="1">
      <alignment horizontal="left" vertical="center" indent="2"/>
    </xf>
    <xf numFmtId="0" fontId="17" fillId="0" borderId="42" xfId="0" applyFont="1" applyFill="1" applyBorder="1" applyAlignment="1">
      <alignment horizontal="center" vertical="center"/>
    </xf>
    <xf numFmtId="0" fontId="4" fillId="0" borderId="47" xfId="0" applyFont="1" applyFill="1" applyBorder="1" applyAlignment="1">
      <alignment horizontal="left" vertical="center" indent="2"/>
    </xf>
    <xf numFmtId="0" fontId="17" fillId="0" borderId="48" xfId="0" applyFont="1" applyFill="1" applyBorder="1" applyAlignment="1">
      <alignment horizontal="center" vertical="center"/>
    </xf>
    <xf numFmtId="3" fontId="4" fillId="0" borderId="25" xfId="0" applyNumberFormat="1" applyFont="1" applyBorder="1" applyAlignment="1">
      <alignment horizontal="right" vertical="center"/>
    </xf>
    <xf numFmtId="0" fontId="5" fillId="2" borderId="46" xfId="0" applyFont="1" applyFill="1" applyBorder="1" applyAlignment="1">
      <alignment horizontal="right" vertical="center"/>
    </xf>
    <xf numFmtId="3" fontId="4" fillId="0" borderId="0" xfId="0" applyNumberFormat="1" applyFont="1" applyBorder="1" applyAlignment="1">
      <alignment horizontal="right" vertical="center"/>
    </xf>
    <xf numFmtId="0" fontId="4" fillId="2" borderId="5" xfId="0" applyFont="1" applyFill="1" applyBorder="1" applyAlignment="1">
      <alignment horizontal="right" vertical="center"/>
    </xf>
    <xf numFmtId="3" fontId="4" fillId="0" borderId="49" xfId="0" applyNumberFormat="1" applyFont="1" applyBorder="1" applyAlignment="1">
      <alignment horizontal="right" vertical="center"/>
    </xf>
    <xf numFmtId="0" fontId="4" fillId="2" borderId="7" xfId="0" applyFont="1" applyFill="1" applyBorder="1" applyAlignment="1">
      <alignment horizontal="right" vertical="center"/>
    </xf>
    <xf numFmtId="0" fontId="4" fillId="2" borderId="50" xfId="0" applyFont="1" applyFill="1" applyBorder="1" applyAlignment="1">
      <alignment horizontal="right" vertical="center"/>
    </xf>
    <xf numFmtId="174" fontId="5" fillId="2" borderId="8" xfId="0" applyNumberFormat="1" applyFont="1" applyFill="1" applyBorder="1" applyAlignment="1">
      <alignment horizontal="right" vertical="center"/>
    </xf>
    <xf numFmtId="174" fontId="5" fillId="2" borderId="22" xfId="0" applyNumberFormat="1" applyFont="1" applyFill="1" applyBorder="1" applyAlignment="1">
      <alignment horizontal="right" vertical="center"/>
    </xf>
    <xf numFmtId="0" fontId="9" fillId="2" borderId="51" xfId="0" applyFont="1" applyFill="1" applyBorder="1" applyAlignment="1">
      <alignment vertical="center"/>
    </xf>
    <xf numFmtId="0" fontId="20" fillId="5" borderId="52" xfId="0" applyFont="1" applyFill="1" applyBorder="1" applyAlignment="1">
      <alignment horizontal="center" vertical="center" wrapText="1"/>
    </xf>
    <xf numFmtId="3" fontId="0" fillId="0" borderId="27" xfId="0" applyNumberFormat="1" applyBorder="1" applyAlignment="1">
      <alignment horizontal="right"/>
    </xf>
    <xf numFmtId="4" fontId="0" fillId="0" borderId="27" xfId="0" applyNumberFormat="1" applyBorder="1" applyAlignment="1">
      <alignment horizontal="right"/>
    </xf>
    <xf numFmtId="4" fontId="0" fillId="0" borderId="0" xfId="0" applyNumberFormat="1" applyBorder="1" applyAlignment="1">
      <alignment horizontal="right"/>
    </xf>
    <xf numFmtId="4" fontId="0" fillId="0" borderId="10" xfId="0" applyNumberFormat="1" applyBorder="1" applyAlignment="1">
      <alignment horizontal="right"/>
    </xf>
    <xf numFmtId="4" fontId="0" fillId="0" borderId="25" xfId="0" applyNumberFormat="1" applyBorder="1" applyAlignment="1">
      <alignment horizontal="right"/>
    </xf>
    <xf numFmtId="4" fontId="0" fillId="0" borderId="53" xfId="0" applyNumberFormat="1" applyBorder="1" applyAlignment="1">
      <alignment horizontal="right"/>
    </xf>
    <xf numFmtId="4" fontId="0" fillId="0" borderId="0" xfId="0" applyNumberFormat="1" applyFill="1" applyBorder="1" applyAlignment="1">
      <alignment horizontal="right"/>
    </xf>
    <xf numFmtId="3" fontId="4" fillId="0" borderId="53" xfId="1" applyNumberFormat="1" applyFont="1" applyBorder="1" applyAlignment="1">
      <alignment horizontal="right" vertical="center"/>
    </xf>
    <xf numFmtId="3" fontId="4" fillId="0" borderId="54" xfId="1" applyNumberFormat="1" applyFont="1" applyBorder="1" applyAlignment="1">
      <alignment horizontal="right" vertical="center"/>
    </xf>
    <xf numFmtId="3" fontId="4" fillId="0" borderId="0" xfId="1" applyNumberFormat="1" applyFont="1" applyBorder="1" applyAlignment="1">
      <alignment horizontal="right" vertical="center"/>
    </xf>
    <xf numFmtId="3" fontId="0" fillId="0" borderId="0" xfId="0" applyNumberFormat="1" applyAlignment="1">
      <alignment horizontal="right"/>
    </xf>
    <xf numFmtId="3" fontId="0" fillId="2" borderId="35" xfId="0" applyNumberFormat="1" applyFill="1" applyBorder="1" applyAlignment="1">
      <alignment horizontal="center"/>
    </xf>
    <xf numFmtId="3" fontId="0" fillId="2" borderId="36" xfId="0" applyNumberFormat="1" applyFill="1" applyBorder="1" applyAlignment="1">
      <alignment horizontal="center"/>
    </xf>
    <xf numFmtId="3" fontId="0" fillId="2" borderId="37" xfId="0" applyNumberFormat="1" applyFill="1" applyBorder="1" applyAlignment="1">
      <alignment horizontal="center"/>
    </xf>
    <xf numFmtId="3" fontId="0" fillId="2" borderId="55" xfId="0" applyNumberFormat="1" applyFill="1" applyBorder="1" applyAlignment="1">
      <alignment horizontal="center"/>
    </xf>
    <xf numFmtId="3" fontId="0" fillId="2" borderId="56" xfId="0" applyNumberFormat="1" applyFill="1" applyBorder="1" applyAlignment="1">
      <alignment horizontal="center"/>
    </xf>
    <xf numFmtId="3" fontId="0" fillId="2" borderId="27" xfId="0" applyNumberFormat="1" applyFill="1" applyBorder="1" applyAlignment="1">
      <alignment horizontal="center"/>
    </xf>
    <xf numFmtId="3" fontId="0" fillId="2" borderId="0" xfId="0" applyNumberFormat="1" applyFill="1" applyBorder="1" applyAlignment="1">
      <alignment horizontal="center"/>
    </xf>
    <xf numFmtId="3" fontId="0" fillId="2" borderId="10" xfId="0" applyNumberFormat="1" applyFill="1" applyBorder="1" applyAlignment="1">
      <alignment horizontal="center"/>
    </xf>
    <xf numFmtId="3" fontId="0" fillId="2" borderId="25" xfId="0" applyNumberFormat="1" applyFill="1" applyBorder="1" applyAlignment="1">
      <alignment horizontal="center"/>
    </xf>
    <xf numFmtId="3" fontId="0" fillId="2" borderId="53" xfId="0" applyNumberFormat="1" applyFill="1" applyBorder="1" applyAlignment="1">
      <alignment horizontal="center"/>
    </xf>
    <xf numFmtId="3" fontId="0" fillId="0" borderId="0" xfId="0" applyNumberFormat="1" applyBorder="1" applyAlignment="1">
      <alignment horizontal="right"/>
    </xf>
    <xf numFmtId="3" fontId="0" fillId="0" borderId="10" xfId="0" applyNumberFormat="1" applyBorder="1" applyAlignment="1">
      <alignment horizontal="right"/>
    </xf>
    <xf numFmtId="3" fontId="0" fillId="0" borderId="25" xfId="0" applyNumberFormat="1" applyBorder="1" applyAlignment="1">
      <alignment horizontal="right"/>
    </xf>
    <xf numFmtId="3" fontId="0" fillId="0" borderId="53" xfId="0" applyNumberFormat="1" applyBorder="1" applyAlignment="1">
      <alignment horizontal="right"/>
    </xf>
    <xf numFmtId="3" fontId="0" fillId="0" borderId="0" xfId="0" applyNumberFormat="1" applyFill="1" applyBorder="1" applyAlignment="1">
      <alignment horizontal="right"/>
    </xf>
    <xf numFmtId="3" fontId="0" fillId="4" borderId="27" xfId="0" applyNumberFormat="1" applyFill="1" applyBorder="1" applyAlignment="1">
      <alignment horizontal="right"/>
    </xf>
    <xf numFmtId="3" fontId="0" fillId="4" borderId="0" xfId="0" applyNumberFormat="1" applyFill="1" applyBorder="1" applyAlignment="1">
      <alignment horizontal="right"/>
    </xf>
    <xf numFmtId="3" fontId="0" fillId="4" borderId="10" xfId="0" applyNumberFormat="1" applyFill="1" applyBorder="1" applyAlignment="1">
      <alignment horizontal="right"/>
    </xf>
    <xf numFmtId="3" fontId="0" fillId="3" borderId="27" xfId="0" applyNumberFormat="1" applyFill="1" applyBorder="1" applyAlignment="1">
      <alignment horizontal="right"/>
    </xf>
    <xf numFmtId="3" fontId="0" fillId="3" borderId="0" xfId="0" applyNumberFormat="1" applyFill="1" applyBorder="1" applyAlignment="1">
      <alignment horizontal="right"/>
    </xf>
    <xf numFmtId="3" fontId="0" fillId="3" borderId="25" xfId="0" applyNumberFormat="1" applyFill="1" applyBorder="1" applyAlignment="1">
      <alignment horizontal="right"/>
    </xf>
    <xf numFmtId="3" fontId="0" fillId="4" borderId="25" xfId="0" applyNumberFormat="1" applyFill="1" applyBorder="1" applyAlignment="1">
      <alignment horizontal="right"/>
    </xf>
    <xf numFmtId="3" fontId="0" fillId="4" borderId="53" xfId="0" applyNumberFormat="1" applyFill="1" applyBorder="1" applyAlignment="1">
      <alignment horizontal="right"/>
    </xf>
    <xf numFmtId="3" fontId="0" fillId="3" borderId="10" xfId="0" applyNumberFormat="1" applyFill="1" applyBorder="1" applyAlignment="1">
      <alignment horizontal="right"/>
    </xf>
    <xf numFmtId="3" fontId="0" fillId="0" borderId="0" xfId="0" applyNumberFormat="1" applyAlignment="1">
      <alignment horizontal="right" wrapText="1"/>
    </xf>
    <xf numFmtId="3" fontId="0" fillId="0" borderId="10" xfId="0" applyNumberFormat="1" applyBorder="1" applyAlignment="1">
      <alignment horizontal="right" wrapText="1"/>
    </xf>
    <xf numFmtId="3" fontId="0" fillId="0" borderId="25" xfId="0" applyNumberFormat="1" applyBorder="1" applyAlignment="1">
      <alignment horizontal="right" wrapText="1"/>
    </xf>
    <xf numFmtId="3" fontId="4" fillId="0" borderId="27" xfId="0" applyNumberFormat="1" applyFont="1" applyBorder="1" applyAlignment="1">
      <alignment horizontal="right"/>
    </xf>
    <xf numFmtId="3" fontId="4" fillId="0" borderId="0" xfId="0" applyNumberFormat="1" applyFont="1" applyBorder="1" applyAlignment="1">
      <alignment horizontal="right"/>
    </xf>
    <xf numFmtId="3" fontId="4" fillId="0" borderId="10" xfId="0" applyNumberFormat="1" applyFont="1" applyBorder="1" applyAlignment="1">
      <alignment horizontal="right"/>
    </xf>
    <xf numFmtId="3" fontId="4" fillId="0" borderId="27" xfId="0" applyNumberFormat="1" applyFont="1" applyBorder="1" applyAlignment="1">
      <alignment horizontal="right" vertical="center"/>
    </xf>
    <xf numFmtId="3" fontId="4" fillId="0" borderId="10" xfId="0" applyNumberFormat="1" applyFont="1" applyBorder="1" applyAlignment="1">
      <alignment horizontal="right" vertical="center"/>
    </xf>
    <xf numFmtId="3" fontId="4" fillId="0" borderId="0" xfId="0" applyNumberFormat="1" applyFont="1" applyFill="1" applyBorder="1" applyAlignment="1">
      <alignment horizontal="right" vertical="center"/>
    </xf>
    <xf numFmtId="3" fontId="4" fillId="0" borderId="28" xfId="0" applyNumberFormat="1" applyFont="1" applyBorder="1" applyAlignment="1">
      <alignment horizontal="right"/>
    </xf>
    <xf numFmtId="3" fontId="4" fillId="0" borderId="3" xfId="0" applyNumberFormat="1" applyFont="1" applyBorder="1" applyAlignment="1">
      <alignment horizontal="right"/>
    </xf>
    <xf numFmtId="3" fontId="4" fillId="0" borderId="13" xfId="0" applyNumberFormat="1" applyFont="1" applyBorder="1" applyAlignment="1">
      <alignment horizontal="right"/>
    </xf>
    <xf numFmtId="3" fontId="4" fillId="0" borderId="28" xfId="0" applyNumberFormat="1" applyFont="1" applyBorder="1" applyAlignment="1">
      <alignment horizontal="right" vertical="center"/>
    </xf>
    <xf numFmtId="3" fontId="4" fillId="0" borderId="3" xfId="0" applyNumberFormat="1" applyFont="1" applyBorder="1" applyAlignment="1">
      <alignment horizontal="right" vertical="center"/>
    </xf>
    <xf numFmtId="3" fontId="4" fillId="0" borderId="13" xfId="0" applyNumberFormat="1" applyFont="1" applyBorder="1" applyAlignment="1">
      <alignment horizontal="right" vertical="center"/>
    </xf>
    <xf numFmtId="3" fontId="4" fillId="0" borderId="3" xfId="0" applyNumberFormat="1" applyFont="1" applyFill="1" applyBorder="1" applyAlignment="1">
      <alignment horizontal="right" vertical="center"/>
    </xf>
    <xf numFmtId="179" fontId="0" fillId="4" borderId="27" xfId="0" applyNumberFormat="1" applyFill="1" applyBorder="1" applyAlignment="1">
      <alignment horizontal="right"/>
    </xf>
    <xf numFmtId="179" fontId="0" fillId="4" borderId="0" xfId="0" applyNumberFormat="1" applyFill="1" applyBorder="1" applyAlignment="1">
      <alignment horizontal="right"/>
    </xf>
    <xf numFmtId="179" fontId="0" fillId="4" borderId="10" xfId="0" applyNumberFormat="1" applyFill="1" applyBorder="1" applyAlignment="1">
      <alignment horizontal="right"/>
    </xf>
    <xf numFmtId="179" fontId="0" fillId="0" borderId="27" xfId="0" applyNumberFormat="1" applyBorder="1" applyAlignment="1">
      <alignment horizontal="right"/>
    </xf>
    <xf numFmtId="179" fontId="0" fillId="0" borderId="0" xfId="0" applyNumberFormat="1" applyBorder="1" applyAlignment="1">
      <alignment horizontal="right"/>
    </xf>
    <xf numFmtId="179" fontId="0" fillId="0" borderId="25" xfId="0" applyNumberFormat="1" applyBorder="1" applyAlignment="1">
      <alignment horizontal="right"/>
    </xf>
    <xf numFmtId="179" fontId="0" fillId="0" borderId="0" xfId="0" applyNumberFormat="1" applyFill="1" applyBorder="1" applyAlignment="1">
      <alignment horizontal="right"/>
    </xf>
    <xf numFmtId="179" fontId="0" fillId="0" borderId="10" xfId="0" applyNumberFormat="1" applyBorder="1" applyAlignment="1">
      <alignment horizontal="right"/>
    </xf>
    <xf numFmtId="179" fontId="0" fillId="0" borderId="53" xfId="0" applyNumberFormat="1" applyBorder="1" applyAlignment="1">
      <alignment horizontal="right"/>
    </xf>
    <xf numFmtId="179" fontId="0" fillId="4" borderId="25" xfId="0" applyNumberFormat="1" applyFill="1" applyBorder="1" applyAlignment="1">
      <alignment horizontal="right"/>
    </xf>
    <xf numFmtId="179" fontId="0" fillId="4" borderId="53" xfId="0" applyNumberFormat="1" applyFill="1" applyBorder="1" applyAlignment="1">
      <alignment horizontal="right"/>
    </xf>
    <xf numFmtId="179" fontId="0" fillId="3" borderId="27" xfId="0" applyNumberFormat="1" applyFill="1" applyBorder="1" applyAlignment="1">
      <alignment horizontal="right"/>
    </xf>
    <xf numFmtId="179" fontId="0" fillId="3" borderId="0" xfId="0" applyNumberFormat="1" applyFill="1" applyBorder="1" applyAlignment="1">
      <alignment horizontal="right"/>
    </xf>
    <xf numFmtId="179" fontId="0" fillId="3" borderId="25" xfId="0" applyNumberFormat="1" applyFill="1" applyBorder="1" applyAlignment="1">
      <alignment horizontal="right"/>
    </xf>
    <xf numFmtId="179" fontId="0" fillId="4" borderId="40" xfId="0" applyNumberFormat="1" applyFill="1" applyBorder="1" applyAlignment="1">
      <alignment horizontal="right"/>
    </xf>
    <xf numFmtId="179" fontId="0" fillId="4" borderId="45" xfId="0" applyNumberFormat="1" applyFill="1" applyBorder="1" applyAlignment="1">
      <alignment horizontal="right"/>
    </xf>
    <xf numFmtId="179" fontId="0" fillId="4" borderId="57" xfId="0" applyNumberFormat="1" applyFill="1" applyBorder="1" applyAlignment="1">
      <alignment horizontal="right"/>
    </xf>
    <xf numFmtId="179" fontId="0" fillId="3" borderId="40" xfId="0" applyNumberFormat="1" applyFill="1" applyBorder="1" applyAlignment="1">
      <alignment horizontal="right"/>
    </xf>
    <xf numFmtId="179" fontId="0" fillId="3" borderId="45" xfId="0" applyNumberFormat="1" applyFill="1" applyBorder="1" applyAlignment="1">
      <alignment horizontal="right"/>
    </xf>
    <xf numFmtId="179" fontId="0" fillId="3" borderId="26" xfId="0" applyNumberFormat="1" applyFill="1" applyBorder="1" applyAlignment="1">
      <alignment horizontal="right"/>
    </xf>
    <xf numFmtId="179" fontId="0" fillId="4" borderId="26" xfId="0" applyNumberFormat="1" applyFill="1" applyBorder="1" applyAlignment="1">
      <alignment horizontal="right"/>
    </xf>
    <xf numFmtId="179" fontId="0" fillId="4" borderId="58" xfId="0" applyNumberFormat="1" applyFill="1" applyBorder="1" applyAlignment="1">
      <alignment horizontal="right"/>
    </xf>
    <xf numFmtId="179" fontId="0" fillId="0" borderId="53" xfId="0" applyNumberFormat="1" applyBorder="1" applyAlignment="1">
      <alignment horizontal="right" wrapText="1"/>
    </xf>
    <xf numFmtId="4" fontId="0" fillId="4" borderId="0" xfId="0" applyNumberFormat="1" applyFill="1" applyBorder="1" applyAlignment="1">
      <alignment horizontal="right"/>
    </xf>
    <xf numFmtId="4" fontId="0" fillId="4" borderId="10" xfId="0" applyNumberFormat="1" applyFill="1" applyBorder="1" applyAlignment="1">
      <alignment horizontal="right"/>
    </xf>
    <xf numFmtId="3" fontId="28" fillId="0" borderId="0" xfId="0" applyNumberFormat="1" applyFont="1" applyBorder="1" applyAlignment="1">
      <alignment horizontal="center"/>
    </xf>
    <xf numFmtId="3" fontId="28" fillId="0" borderId="10" xfId="0" applyNumberFormat="1" applyFont="1" applyBorder="1" applyAlignment="1">
      <alignment horizontal="center"/>
    </xf>
    <xf numFmtId="3" fontId="28" fillId="0" borderId="25" xfId="0" applyNumberFormat="1" applyFont="1" applyBorder="1" applyAlignment="1">
      <alignment horizontal="center"/>
    </xf>
    <xf numFmtId="3" fontId="28" fillId="0" borderId="53" xfId="0" applyNumberFormat="1" applyFont="1" applyBorder="1" applyAlignment="1">
      <alignment horizontal="center"/>
    </xf>
    <xf numFmtId="0" fontId="4" fillId="3" borderId="27" xfId="0" applyFont="1" applyFill="1" applyBorder="1" applyAlignment="1">
      <alignment horizontal="left" indent="2"/>
    </xf>
    <xf numFmtId="3" fontId="4" fillId="4" borderId="27" xfId="0" applyNumberFormat="1" applyFont="1" applyFill="1" applyBorder="1" applyAlignment="1">
      <alignment horizontal="left" indent="2"/>
    </xf>
    <xf numFmtId="0" fontId="0" fillId="0" borderId="0" xfId="0" applyAlignment="1">
      <alignment horizontal="center"/>
    </xf>
    <xf numFmtId="0" fontId="0" fillId="2" borderId="36" xfId="0" applyFill="1" applyBorder="1" applyAlignment="1">
      <alignment horizontal="center"/>
    </xf>
    <xf numFmtId="0" fontId="0" fillId="2" borderId="0" xfId="0" applyFill="1" applyBorder="1" applyAlignment="1">
      <alignment horizontal="center"/>
    </xf>
    <xf numFmtId="0" fontId="0" fillId="0" borderId="0" xfId="0" applyBorder="1" applyAlignment="1">
      <alignment horizontal="center"/>
    </xf>
    <xf numFmtId="0" fontId="4" fillId="4" borderId="0" xfId="0" applyFont="1" applyFill="1" applyBorder="1" applyAlignment="1">
      <alignment horizontal="center"/>
    </xf>
    <xf numFmtId="0" fontId="4" fillId="0" borderId="0" xfId="0" applyFont="1" applyBorder="1" applyAlignment="1">
      <alignment horizontal="center"/>
    </xf>
    <xf numFmtId="0" fontId="0" fillId="4" borderId="0" xfId="0" applyFill="1" applyBorder="1" applyAlignment="1">
      <alignment horizontal="center"/>
    </xf>
    <xf numFmtId="0" fontId="4" fillId="0" borderId="0" xfId="0" applyFont="1" applyAlignment="1">
      <alignment horizontal="center"/>
    </xf>
    <xf numFmtId="0" fontId="4" fillId="0" borderId="3" xfId="0" applyFont="1" applyBorder="1" applyAlignment="1">
      <alignment horizontal="center"/>
    </xf>
    <xf numFmtId="203" fontId="4" fillId="0" borderId="12" xfId="3" applyNumberFormat="1" applyFont="1" applyBorder="1" applyAlignment="1">
      <alignment horizontal="right" vertical="center"/>
    </xf>
    <xf numFmtId="203" fontId="3" fillId="0" borderId="12" xfId="3" applyNumberFormat="1" applyFont="1" applyBorder="1" applyAlignment="1">
      <alignment horizontal="right" vertical="center"/>
    </xf>
    <xf numFmtId="203" fontId="4" fillId="0" borderId="59" xfId="3" applyNumberFormat="1" applyFont="1" applyBorder="1" applyAlignment="1">
      <alignment horizontal="right" vertical="center"/>
    </xf>
    <xf numFmtId="197" fontId="3" fillId="0" borderId="11" xfId="1" applyNumberFormat="1" applyFont="1" applyBorder="1" applyAlignment="1">
      <alignment horizontal="right" vertical="center"/>
    </xf>
    <xf numFmtId="197" fontId="3" fillId="0" borderId="25" xfId="1" applyNumberFormat="1" applyFont="1" applyBorder="1" applyAlignment="1">
      <alignment horizontal="right" vertical="center"/>
    </xf>
    <xf numFmtId="197" fontId="4" fillId="0" borderId="11" xfId="1" applyNumberFormat="1" applyFont="1" applyBorder="1" applyAlignment="1">
      <alignment horizontal="right" vertical="center"/>
    </xf>
    <xf numFmtId="197" fontId="4" fillId="0" borderId="25" xfId="1" applyNumberFormat="1" applyFont="1" applyBorder="1" applyAlignment="1">
      <alignment horizontal="right" vertical="center"/>
    </xf>
    <xf numFmtId="198" fontId="3" fillId="0" borderId="11" xfId="1" applyNumberFormat="1" applyFont="1" applyBorder="1" applyAlignment="1">
      <alignment horizontal="right" vertical="center"/>
    </xf>
    <xf numFmtId="198" fontId="3" fillId="0" borderId="25" xfId="1" applyNumberFormat="1" applyFont="1" applyBorder="1" applyAlignment="1">
      <alignment horizontal="right" vertical="center"/>
    </xf>
    <xf numFmtId="198" fontId="4" fillId="0" borderId="11" xfId="1" applyNumberFormat="1" applyFont="1" applyBorder="1" applyAlignment="1">
      <alignment horizontal="right" vertical="center"/>
    </xf>
    <xf numFmtId="198" fontId="4" fillId="0" borderId="25" xfId="1" applyNumberFormat="1" applyFont="1" applyBorder="1" applyAlignment="1">
      <alignment horizontal="right" vertical="center"/>
    </xf>
    <xf numFmtId="197" fontId="3" fillId="0" borderId="25" xfId="1" applyNumberFormat="1" applyFont="1" applyFill="1" applyBorder="1" applyAlignment="1">
      <alignment horizontal="right" vertical="center"/>
    </xf>
    <xf numFmtId="197" fontId="4" fillId="0" borderId="25" xfId="1" applyNumberFormat="1" applyFont="1" applyFill="1" applyBorder="1" applyAlignment="1">
      <alignment horizontal="right" vertical="center"/>
    </xf>
    <xf numFmtId="197" fontId="4" fillId="0" borderId="43" xfId="1" applyNumberFormat="1" applyFont="1" applyBorder="1" applyAlignment="1">
      <alignment horizontal="right" vertical="center"/>
    </xf>
    <xf numFmtId="198" fontId="3" fillId="0" borderId="25" xfId="1" applyNumberFormat="1" applyFont="1" applyFill="1" applyBorder="1" applyAlignment="1">
      <alignment horizontal="right" vertical="center"/>
    </xf>
    <xf numFmtId="198" fontId="4" fillId="0" borderId="25" xfId="1" applyNumberFormat="1" applyFont="1" applyFill="1" applyBorder="1" applyAlignment="1">
      <alignment horizontal="right" vertical="center"/>
    </xf>
    <xf numFmtId="198" fontId="4" fillId="0" borderId="43" xfId="1" applyNumberFormat="1" applyFont="1" applyBorder="1" applyAlignment="1">
      <alignment horizontal="right" vertical="center"/>
    </xf>
    <xf numFmtId="198" fontId="4" fillId="0" borderId="49" xfId="1" applyNumberFormat="1" applyFont="1" applyBorder="1" applyAlignment="1">
      <alignment horizontal="right" vertical="center"/>
    </xf>
    <xf numFmtId="197" fontId="4" fillId="3" borderId="11" xfId="1" applyNumberFormat="1" applyFont="1" applyFill="1" applyBorder="1" applyAlignment="1">
      <alignment horizontal="right" vertical="center"/>
    </xf>
    <xf numFmtId="197" fontId="4" fillId="3" borderId="60" xfId="1" applyNumberFormat="1" applyFont="1" applyFill="1" applyBorder="1" applyAlignment="1">
      <alignment horizontal="right" vertical="center"/>
    </xf>
    <xf numFmtId="197" fontId="4" fillId="0" borderId="61" xfId="1" applyNumberFormat="1" applyFont="1" applyBorder="1" applyAlignment="1">
      <alignment horizontal="right" vertical="center"/>
    </xf>
    <xf numFmtId="198" fontId="4" fillId="3" borderId="25" xfId="1" applyNumberFormat="1" applyFont="1" applyFill="1" applyBorder="1" applyAlignment="1">
      <alignment horizontal="right" vertical="center"/>
    </xf>
    <xf numFmtId="198" fontId="4" fillId="0" borderId="62" xfId="1" applyNumberFormat="1" applyFont="1" applyBorder="1" applyAlignment="1">
      <alignment horizontal="right" vertical="center"/>
    </xf>
    <xf numFmtId="198" fontId="4" fillId="0" borderId="62" xfId="1" applyNumberFormat="1" applyFont="1" applyFill="1" applyBorder="1" applyAlignment="1">
      <alignment horizontal="right" vertical="center"/>
    </xf>
    <xf numFmtId="198" fontId="4" fillId="0" borderId="11" xfId="1" applyNumberFormat="1" applyFont="1" applyFill="1" applyBorder="1" applyAlignment="1">
      <alignment horizontal="right" vertical="center"/>
    </xf>
    <xf numFmtId="198" fontId="4" fillId="0" borderId="43" xfId="1" applyNumberFormat="1" applyFont="1" applyFill="1" applyBorder="1" applyAlignment="1">
      <alignment horizontal="right" vertical="center"/>
    </xf>
    <xf numFmtId="198" fontId="4" fillId="2" borderId="7" xfId="1" applyNumberFormat="1" applyFont="1" applyFill="1" applyBorder="1" applyAlignment="1">
      <alignment horizontal="right" vertical="center"/>
    </xf>
    <xf numFmtId="198" fontId="4" fillId="2" borderId="5" xfId="1" applyNumberFormat="1" applyFont="1" applyFill="1" applyBorder="1" applyAlignment="1">
      <alignment horizontal="right" vertical="center"/>
    </xf>
    <xf numFmtId="198" fontId="9" fillId="2" borderId="51" xfId="1" applyNumberFormat="1" applyFont="1" applyFill="1" applyBorder="1" applyAlignment="1">
      <alignment vertical="center"/>
    </xf>
    <xf numFmtId="198" fontId="4" fillId="0" borderId="63" xfId="1" applyNumberFormat="1" applyFont="1" applyFill="1" applyBorder="1" applyAlignment="1">
      <alignment horizontal="right" vertical="center"/>
    </xf>
    <xf numFmtId="198" fontId="4" fillId="0" borderId="63" xfId="1" applyNumberFormat="1" applyFont="1" applyBorder="1" applyAlignment="1">
      <alignment horizontal="right" vertical="center"/>
    </xf>
    <xf numFmtId="173" fontId="4" fillId="0" borderId="11" xfId="1" applyNumberFormat="1" applyFont="1" applyBorder="1" applyAlignment="1">
      <alignment horizontal="right" vertical="center"/>
    </xf>
    <xf numFmtId="173" fontId="4" fillId="0" borderId="63" xfId="1" applyNumberFormat="1" applyFont="1" applyBorder="1" applyAlignment="1">
      <alignment horizontal="right" vertical="center"/>
    </xf>
    <xf numFmtId="198" fontId="4" fillId="0" borderId="64" xfId="1" applyNumberFormat="1" applyFont="1" applyBorder="1" applyAlignment="1">
      <alignment horizontal="right" vertical="center"/>
    </xf>
    <xf numFmtId="198" fontId="4" fillId="0" borderId="65" xfId="1" applyNumberFormat="1" applyFont="1" applyFill="1" applyBorder="1" applyAlignment="1">
      <alignment horizontal="right" vertical="center"/>
    </xf>
    <xf numFmtId="197" fontId="4" fillId="3" borderId="62" xfId="1" applyNumberFormat="1" applyFont="1" applyFill="1" applyBorder="1" applyAlignment="1">
      <alignment horizontal="right" vertical="center"/>
    </xf>
    <xf numFmtId="203" fontId="4" fillId="0" borderId="66" xfId="3" applyNumberFormat="1" applyFont="1" applyBorder="1" applyAlignment="1">
      <alignment horizontal="right" vertical="center"/>
    </xf>
    <xf numFmtId="174" fontId="5" fillId="2" borderId="67" xfId="0" applyNumberFormat="1" applyFont="1" applyFill="1" applyBorder="1" applyAlignment="1">
      <alignment horizontal="right" vertical="center"/>
    </xf>
    <xf numFmtId="0" fontId="4" fillId="2" borderId="68" xfId="0" applyFont="1" applyFill="1" applyBorder="1" applyAlignment="1">
      <alignment horizontal="right" vertical="center"/>
    </xf>
    <xf numFmtId="198" fontId="4" fillId="0" borderId="69" xfId="1" applyNumberFormat="1" applyFont="1" applyBorder="1" applyAlignment="1">
      <alignment horizontal="right" vertical="center"/>
    </xf>
    <xf numFmtId="0" fontId="23" fillId="4" borderId="0" xfId="0" applyFont="1" applyFill="1" applyBorder="1" applyAlignment="1">
      <alignment horizontal="center"/>
    </xf>
    <xf numFmtId="0" fontId="23" fillId="0" borderId="0" xfId="0" applyFont="1" applyBorder="1" applyAlignment="1">
      <alignment horizontal="center"/>
    </xf>
    <xf numFmtId="0" fontId="23" fillId="0" borderId="0" xfId="0" applyFont="1" applyAlignment="1">
      <alignment horizontal="center"/>
    </xf>
    <xf numFmtId="1" fontId="0" fillId="2" borderId="27" xfId="0" applyNumberFormat="1" applyFill="1" applyBorder="1" applyAlignment="1">
      <alignment horizontal="center"/>
    </xf>
    <xf numFmtId="1" fontId="0" fillId="2" borderId="0" xfId="0" applyNumberFormat="1" applyFill="1" applyBorder="1" applyAlignment="1">
      <alignment horizontal="center"/>
    </xf>
    <xf numFmtId="1" fontId="0" fillId="2" borderId="25" xfId="0" applyNumberFormat="1" applyFill="1" applyBorder="1" applyAlignment="1">
      <alignment horizontal="center"/>
    </xf>
    <xf numFmtId="1" fontId="0" fillId="2" borderId="10" xfId="0" applyNumberFormat="1" applyFill="1" applyBorder="1" applyAlignment="1">
      <alignment horizontal="center"/>
    </xf>
    <xf numFmtId="0" fontId="4" fillId="0" borderId="9" xfId="0" applyFont="1" applyFill="1" applyBorder="1" applyAlignment="1">
      <alignment horizontal="left" vertical="center" indent="10"/>
    </xf>
    <xf numFmtId="0" fontId="4" fillId="5" borderId="27" xfId="0" applyFont="1" applyFill="1" applyBorder="1" applyAlignment="1">
      <alignment horizontal="left" indent="2"/>
    </xf>
    <xf numFmtId="0" fontId="4" fillId="0" borderId="27" xfId="0" applyFont="1" applyFill="1" applyBorder="1" applyAlignment="1">
      <alignment horizontal="left" vertical="center" indent="2"/>
    </xf>
    <xf numFmtId="0" fontId="4" fillId="0" borderId="27" xfId="0" applyFont="1" applyFill="1" applyBorder="1" applyAlignment="1">
      <alignment horizontal="left" indent="2"/>
    </xf>
    <xf numFmtId="1" fontId="0" fillId="0" borderId="0" xfId="0" applyNumberFormat="1" applyBorder="1" applyAlignment="1">
      <alignment horizontal="right"/>
    </xf>
    <xf numFmtId="1" fontId="0" fillId="0" borderId="25" xfId="0" applyNumberFormat="1" applyBorder="1" applyAlignment="1">
      <alignment horizontal="right"/>
    </xf>
    <xf numFmtId="1" fontId="0" fillId="0" borderId="10" xfId="0" applyNumberFormat="1" applyBorder="1" applyAlignment="1">
      <alignment horizontal="right"/>
    </xf>
    <xf numFmtId="1" fontId="0" fillId="0" borderId="53" xfId="0" applyNumberFormat="1" applyBorder="1" applyAlignment="1">
      <alignment horizontal="right"/>
    </xf>
    <xf numFmtId="0" fontId="24" fillId="2" borderId="53" xfId="0" applyFont="1" applyFill="1" applyBorder="1"/>
    <xf numFmtId="0" fontId="3" fillId="0" borderId="27" xfId="0" applyFont="1" applyFill="1" applyBorder="1" applyAlignment="1">
      <alignment horizontal="left"/>
    </xf>
    <xf numFmtId="3" fontId="0" fillId="5" borderId="0" xfId="0" applyNumberFormat="1" applyFill="1" applyBorder="1" applyAlignment="1">
      <alignment horizontal="right"/>
    </xf>
    <xf numFmtId="3" fontId="0" fillId="5" borderId="25" xfId="0" applyNumberFormat="1" applyFill="1" applyBorder="1" applyAlignment="1">
      <alignment horizontal="right"/>
    </xf>
    <xf numFmtId="3" fontId="0" fillId="5" borderId="10" xfId="0" applyNumberFormat="1" applyFill="1" applyBorder="1" applyAlignment="1">
      <alignment horizontal="right"/>
    </xf>
    <xf numFmtId="3" fontId="0" fillId="5" borderId="0" xfId="0" applyNumberFormat="1" applyFill="1" applyAlignment="1">
      <alignment horizontal="right"/>
    </xf>
    <xf numFmtId="3" fontId="0" fillId="5" borderId="53" xfId="0" applyNumberFormat="1" applyFill="1" applyBorder="1" applyAlignment="1">
      <alignment horizontal="right"/>
    </xf>
    <xf numFmtId="1" fontId="4" fillId="4" borderId="0" xfId="0" applyNumberFormat="1" applyFont="1" applyFill="1" applyBorder="1" applyAlignment="1">
      <alignment horizontal="center"/>
    </xf>
    <xf numFmtId="179" fontId="0" fillId="0" borderId="25" xfId="0" applyNumberFormat="1" applyFill="1" applyBorder="1" applyAlignment="1">
      <alignment horizontal="right"/>
    </xf>
    <xf numFmtId="179" fontId="4" fillId="0" borderId="0" xfId="0" applyNumberFormat="1" applyFont="1" applyBorder="1" applyAlignment="1">
      <alignment horizontal="right" vertical="center"/>
    </xf>
    <xf numFmtId="0" fontId="4" fillId="0" borderId="0" xfId="0" applyFont="1" applyFill="1" applyBorder="1" applyAlignment="1">
      <alignment horizontal="center"/>
    </xf>
    <xf numFmtId="0" fontId="4" fillId="0" borderId="45" xfId="0" applyFont="1" applyFill="1" applyBorder="1" applyAlignment="1">
      <alignment horizontal="center"/>
    </xf>
    <xf numFmtId="0" fontId="4" fillId="0" borderId="10" xfId="0" applyFont="1" applyFill="1" applyBorder="1"/>
    <xf numFmtId="0" fontId="4" fillId="0" borderId="57" xfId="0" applyFont="1" applyFill="1" applyBorder="1"/>
    <xf numFmtId="14" fontId="24" fillId="0" borderId="10" xfId="0" applyNumberFormat="1" applyFont="1" applyFill="1" applyBorder="1"/>
    <xf numFmtId="14" fontId="24" fillId="0" borderId="57" xfId="0" applyNumberFormat="1" applyFont="1" applyFill="1" applyBorder="1"/>
    <xf numFmtId="3" fontId="0" fillId="0" borderId="53" xfId="0" applyNumberFormat="1" applyFill="1" applyBorder="1" applyAlignment="1">
      <alignment horizontal="right"/>
    </xf>
    <xf numFmtId="0" fontId="4" fillId="0" borderId="0" xfId="0" applyFont="1" applyFill="1" applyBorder="1"/>
    <xf numFmtId="0" fontId="24" fillId="0" borderId="53" xfId="0" applyFont="1" applyFill="1" applyBorder="1"/>
    <xf numFmtId="0" fontId="0" fillId="0" borderId="0" xfId="0" applyFill="1" applyBorder="1"/>
    <xf numFmtId="14" fontId="24" fillId="0" borderId="53" xfId="0" applyNumberFormat="1" applyFont="1" applyFill="1" applyBorder="1"/>
    <xf numFmtId="0" fontId="0" fillId="0" borderId="0" xfId="0" applyFill="1" applyBorder="1" applyAlignment="1">
      <alignment horizontal="center"/>
    </xf>
    <xf numFmtId="0" fontId="4" fillId="0" borderId="45" xfId="0" applyFont="1" applyFill="1" applyBorder="1"/>
    <xf numFmtId="14" fontId="24" fillId="0" borderId="58" xfId="0" applyNumberFormat="1" applyFont="1" applyFill="1" applyBorder="1"/>
    <xf numFmtId="0" fontId="28" fillId="0" borderId="0" xfId="0" applyFont="1" applyFill="1" applyBorder="1" applyAlignment="1">
      <alignment horizontal="center"/>
    </xf>
    <xf numFmtId="0" fontId="28" fillId="0" borderId="53" xfId="0" applyFont="1" applyFill="1" applyBorder="1" applyAlignment="1">
      <alignment horizontal="center"/>
    </xf>
    <xf numFmtId="0" fontId="4" fillId="0" borderId="3" xfId="0" applyFont="1" applyFill="1" applyBorder="1"/>
    <xf numFmtId="0" fontId="24" fillId="0" borderId="54" xfId="0" applyFont="1" applyFill="1" applyBorder="1"/>
    <xf numFmtId="0" fontId="4" fillId="0" borderId="0" xfId="0" applyFont="1" applyFill="1" applyAlignment="1">
      <alignment horizontal="center"/>
    </xf>
    <xf numFmtId="0" fontId="28" fillId="0" borderId="10" xfId="0" applyFont="1" applyFill="1" applyBorder="1" applyAlignment="1">
      <alignment horizontal="center"/>
    </xf>
    <xf numFmtId="0" fontId="0" fillId="0" borderId="10" xfId="0" applyFill="1" applyBorder="1"/>
    <xf numFmtId="0" fontId="24" fillId="0" borderId="10" xfId="0" applyFont="1" applyFill="1" applyBorder="1"/>
    <xf numFmtId="0" fontId="25" fillId="0" borderId="10" xfId="0" applyFont="1" applyFill="1" applyBorder="1"/>
    <xf numFmtId="3" fontId="4" fillId="0" borderId="10" xfId="0" applyNumberFormat="1" applyFont="1" applyFill="1" applyBorder="1"/>
    <xf numFmtId="3" fontId="25" fillId="0" borderId="10" xfId="0" applyNumberFormat="1" applyFont="1" applyFill="1" applyBorder="1"/>
    <xf numFmtId="14" fontId="25" fillId="0" borderId="10" xfId="0" applyNumberFormat="1" applyFont="1" applyFill="1" applyBorder="1"/>
    <xf numFmtId="0" fontId="4" fillId="0" borderId="13" xfId="0" applyFont="1" applyFill="1" applyBorder="1"/>
    <xf numFmtId="0" fontId="24" fillId="0" borderId="13" xfId="0" applyFont="1" applyFill="1" applyBorder="1"/>
    <xf numFmtId="3" fontId="4" fillId="0" borderId="0" xfId="0" applyNumberFormat="1" applyFont="1" applyFill="1" applyBorder="1" applyAlignment="1">
      <alignment horizontal="center"/>
    </xf>
    <xf numFmtId="0" fontId="24" fillId="2" borderId="56" xfId="0" applyFont="1" applyFill="1" applyBorder="1" applyAlignment="1">
      <alignment horizontal="center"/>
    </xf>
    <xf numFmtId="0" fontId="23" fillId="0" borderId="0" xfId="0" applyFont="1" applyFill="1" applyBorder="1"/>
    <xf numFmtId="14" fontId="25" fillId="0" borderId="53" xfId="0" applyNumberFormat="1" applyFont="1" applyFill="1" applyBorder="1"/>
    <xf numFmtId="0" fontId="25" fillId="0" borderId="53" xfId="0" applyFont="1" applyFill="1" applyBorder="1"/>
    <xf numFmtId="0" fontId="23" fillId="0" borderId="0" xfId="0" applyFont="1" applyFill="1" applyBorder="1" applyAlignment="1">
      <alignment horizontal="center"/>
    </xf>
    <xf numFmtId="179" fontId="0" fillId="0" borderId="45" xfId="0" applyNumberFormat="1" applyFill="1" applyBorder="1" applyAlignment="1">
      <alignment horizontal="right"/>
    </xf>
    <xf numFmtId="3" fontId="0" fillId="0" borderId="0" xfId="0" applyNumberFormat="1" applyFill="1" applyAlignment="1">
      <alignment horizontal="right" wrapText="1"/>
    </xf>
    <xf numFmtId="3" fontId="4" fillId="0" borderId="0" xfId="0" applyNumberFormat="1" applyFont="1" applyFill="1" applyBorder="1" applyAlignment="1">
      <alignment horizontal="right"/>
    </xf>
    <xf numFmtId="3" fontId="4" fillId="0" borderId="3" xfId="0" applyNumberFormat="1" applyFont="1" applyFill="1" applyBorder="1" applyAlignment="1">
      <alignment horizontal="right"/>
    </xf>
    <xf numFmtId="0" fontId="24" fillId="2" borderId="37" xfId="0" applyFont="1" applyFill="1" applyBorder="1" applyAlignment="1">
      <alignment horizontal="center"/>
    </xf>
    <xf numFmtId="0" fontId="3" fillId="0" borderId="35" xfId="0" applyFont="1" applyBorder="1" applyAlignment="1">
      <alignment horizontal="left"/>
    </xf>
    <xf numFmtId="0" fontId="0" fillId="0" borderId="5" xfId="0" applyBorder="1" applyAlignment="1">
      <alignment horizontal="center"/>
    </xf>
    <xf numFmtId="0" fontId="0" fillId="0" borderId="6" xfId="0" applyBorder="1" applyAlignment="1">
      <alignment horizontal="center"/>
    </xf>
    <xf numFmtId="0" fontId="26" fillId="0" borderId="65" xfId="0" applyFont="1" applyBorder="1" applyAlignment="1">
      <alignment horizontal="center"/>
    </xf>
    <xf numFmtId="0" fontId="26" fillId="0" borderId="70" xfId="0" applyFont="1" applyBorder="1" applyAlignment="1">
      <alignment horizontal="center"/>
    </xf>
    <xf numFmtId="0" fontId="0" fillId="4" borderId="28" xfId="0" applyFill="1" applyBorder="1" applyAlignment="1">
      <alignment horizontal="left" indent="2"/>
    </xf>
    <xf numFmtId="0" fontId="26" fillId="0" borderId="71" xfId="0" applyFont="1" applyBorder="1" applyAlignment="1">
      <alignment horizontal="center"/>
    </xf>
    <xf numFmtId="0" fontId="26" fillId="0" borderId="72" xfId="0" applyFont="1" applyBorder="1" applyAlignment="1">
      <alignment horizontal="center"/>
    </xf>
    <xf numFmtId="0" fontId="26" fillId="0" borderId="0" xfId="0" applyFont="1" applyBorder="1" applyAlignment="1">
      <alignment horizontal="center"/>
    </xf>
    <xf numFmtId="0" fontId="26" fillId="0" borderId="5" xfId="0" applyFont="1" applyBorder="1" applyAlignment="1">
      <alignment horizontal="center"/>
    </xf>
    <xf numFmtId="0" fontId="26" fillId="0" borderId="6" xfId="0" applyFont="1" applyBorder="1" applyAlignment="1">
      <alignment horizontal="center"/>
    </xf>
    <xf numFmtId="0" fontId="4" fillId="0" borderId="28" xfId="0" applyFont="1" applyBorder="1" applyAlignment="1">
      <alignment horizontal="left" indent="2"/>
    </xf>
    <xf numFmtId="0" fontId="4" fillId="4" borderId="28" xfId="0" applyFont="1" applyFill="1" applyBorder="1" applyAlignment="1">
      <alignment horizontal="left" indent="2"/>
    </xf>
    <xf numFmtId="3" fontId="4" fillId="4" borderId="73" xfId="0" applyNumberFormat="1" applyFont="1" applyFill="1" applyBorder="1" applyAlignment="1">
      <alignment horizontal="left" indent="2"/>
    </xf>
    <xf numFmtId="0" fontId="26" fillId="0" borderId="74" xfId="0" applyFont="1" applyBorder="1" applyAlignment="1">
      <alignment horizontal="center"/>
    </xf>
    <xf numFmtId="0" fontId="26" fillId="0" borderId="75" xfId="0" applyFont="1" applyBorder="1" applyAlignment="1">
      <alignment horizontal="center"/>
    </xf>
    <xf numFmtId="0" fontId="26" fillId="0" borderId="76" xfId="0" applyFont="1" applyBorder="1" applyAlignment="1">
      <alignment horizontal="center"/>
    </xf>
    <xf numFmtId="0" fontId="9" fillId="0" borderId="0" xfId="0" applyFont="1" applyFill="1" applyBorder="1" applyAlignment="1">
      <alignment horizontal="left" vertical="center" wrapText="1" indent="1"/>
    </xf>
    <xf numFmtId="0" fontId="24" fillId="0" borderId="0" xfId="0" applyFont="1" applyAlignment="1">
      <alignment horizontal="left" indent="1"/>
    </xf>
    <xf numFmtId="0" fontId="24" fillId="0" borderId="0" xfId="0" applyFont="1" applyAlignment="1">
      <alignment horizontal="left" indent="5"/>
    </xf>
    <xf numFmtId="0" fontId="24" fillId="0" borderId="0" xfId="0" applyFont="1" applyAlignment="1">
      <alignment horizontal="left" vertical="center" indent="2"/>
    </xf>
    <xf numFmtId="3" fontId="0" fillId="0" borderId="25" xfId="0" applyNumberFormat="1" applyFill="1" applyBorder="1" applyAlignment="1">
      <alignment horizontal="right"/>
    </xf>
    <xf numFmtId="3" fontId="0" fillId="0" borderId="10" xfId="0" applyNumberFormat="1" applyFill="1" applyBorder="1" applyAlignment="1">
      <alignment horizontal="right"/>
    </xf>
    <xf numFmtId="3" fontId="4" fillId="0" borderId="25" xfId="0" applyNumberFormat="1" applyFont="1" applyFill="1" applyBorder="1" applyAlignment="1">
      <alignment horizontal="right"/>
    </xf>
    <xf numFmtId="3" fontId="4" fillId="0" borderId="10" xfId="0" applyNumberFormat="1" applyFont="1" applyFill="1" applyBorder="1" applyAlignment="1">
      <alignment horizontal="right"/>
    </xf>
    <xf numFmtId="3" fontId="4" fillId="0" borderId="53" xfId="0" applyNumberFormat="1" applyFont="1" applyFill="1" applyBorder="1" applyAlignment="1">
      <alignment horizontal="right"/>
    </xf>
    <xf numFmtId="3" fontId="0" fillId="0" borderId="27" xfId="0" applyNumberFormat="1" applyFill="1" applyBorder="1" applyAlignment="1">
      <alignment horizontal="right"/>
    </xf>
    <xf numFmtId="179" fontId="0" fillId="0" borderId="0" xfId="0" applyNumberFormat="1" applyAlignment="1">
      <alignment horizontal="right"/>
    </xf>
    <xf numFmtId="3" fontId="23" fillId="0" borderId="27" xfId="0" applyNumberFormat="1" applyFont="1" applyBorder="1" applyAlignment="1">
      <alignment horizontal="right"/>
    </xf>
    <xf numFmtId="3" fontId="23" fillId="0" borderId="0" xfId="0" applyNumberFormat="1" applyFont="1" applyBorder="1" applyAlignment="1">
      <alignment horizontal="right"/>
    </xf>
    <xf numFmtId="3" fontId="23" fillId="0" borderId="10" xfId="0" applyNumberFormat="1" applyFont="1" applyBorder="1" applyAlignment="1">
      <alignment horizontal="right"/>
    </xf>
    <xf numFmtId="0" fontId="4" fillId="2" borderId="7" xfId="0" applyFont="1" applyFill="1" applyBorder="1" applyAlignment="1">
      <alignment vertical="center"/>
    </xf>
    <xf numFmtId="3" fontId="3" fillId="0" borderId="11" xfId="0" applyNumberFormat="1" applyFont="1" applyFill="1" applyBorder="1" applyAlignment="1">
      <alignment vertical="center"/>
    </xf>
    <xf numFmtId="1" fontId="4" fillId="0" borderId="11" xfId="0" applyNumberFormat="1" applyFont="1" applyBorder="1" applyAlignment="1">
      <alignment vertical="center"/>
    </xf>
    <xf numFmtId="1" fontId="4" fillId="0" borderId="11" xfId="0" applyNumberFormat="1" applyFont="1" applyFill="1" applyBorder="1" applyAlignment="1">
      <alignment vertical="center"/>
    </xf>
    <xf numFmtId="9" fontId="6" fillId="3" borderId="10" xfId="3" applyFont="1" applyFill="1" applyBorder="1" applyAlignment="1">
      <alignment vertical="center"/>
    </xf>
    <xf numFmtId="9" fontId="5" fillId="3" borderId="10" xfId="3" applyFont="1" applyFill="1" applyBorder="1" applyAlignment="1">
      <alignment vertical="center"/>
    </xf>
    <xf numFmtId="3" fontId="4" fillId="0" borderId="11" xfId="0" applyNumberFormat="1" applyFont="1" applyFill="1" applyBorder="1" applyAlignment="1">
      <alignment horizontal="right" vertical="center"/>
    </xf>
    <xf numFmtId="3" fontId="4" fillId="0" borderId="43" xfId="0" applyNumberFormat="1" applyFont="1" applyFill="1" applyBorder="1" applyAlignment="1">
      <alignment horizontal="right" vertical="center"/>
    </xf>
    <xf numFmtId="174" fontId="5" fillId="0" borderId="77" xfId="0" applyNumberFormat="1" applyFont="1" applyBorder="1" applyAlignment="1">
      <alignment vertical="center"/>
    </xf>
    <xf numFmtId="174" fontId="5" fillId="0" borderId="52" xfId="0" applyNumberFormat="1" applyFont="1" applyBorder="1" applyAlignment="1">
      <alignment vertical="center"/>
    </xf>
    <xf numFmtId="179" fontId="4" fillId="3" borderId="11" xfId="0" applyNumberFormat="1" applyFont="1" applyFill="1" applyBorder="1" applyAlignment="1">
      <alignment horizontal="right" vertical="center"/>
    </xf>
    <xf numFmtId="174" fontId="5" fillId="3" borderId="10" xfId="3" applyNumberFormat="1" applyFont="1" applyFill="1" applyBorder="1" applyAlignment="1">
      <alignment horizontal="right" vertical="center"/>
    </xf>
    <xf numFmtId="179" fontId="4" fillId="0" borderId="11" xfId="0" applyNumberFormat="1" applyFont="1" applyFill="1" applyBorder="1" applyAlignment="1">
      <alignment vertical="center"/>
    </xf>
    <xf numFmtId="0" fontId="4" fillId="3" borderId="27" xfId="0" applyFont="1" applyFill="1" applyBorder="1" applyAlignment="1">
      <alignment horizontal="left" vertical="center" indent="2"/>
    </xf>
    <xf numFmtId="0" fontId="4" fillId="3" borderId="28" xfId="0" applyFont="1" applyFill="1" applyBorder="1" applyAlignment="1">
      <alignment horizontal="left" vertical="center" indent="2"/>
    </xf>
    <xf numFmtId="0" fontId="17" fillId="3" borderId="3" xfId="0" applyFont="1" applyFill="1" applyBorder="1" applyAlignment="1">
      <alignment horizontal="center" vertical="center"/>
    </xf>
    <xf numFmtId="0" fontId="17" fillId="0" borderId="13" xfId="0" applyFont="1" applyFill="1" applyBorder="1" applyAlignment="1">
      <alignment horizontal="center" vertical="center"/>
    </xf>
    <xf numFmtId="179" fontId="4" fillId="3" borderId="43" xfId="0" applyNumberFormat="1" applyFont="1" applyFill="1" applyBorder="1" applyAlignment="1">
      <alignment horizontal="right" vertical="center"/>
    </xf>
    <xf numFmtId="174" fontId="5" fillId="3" borderId="13" xfId="3" applyNumberFormat="1" applyFont="1" applyFill="1" applyBorder="1" applyAlignment="1">
      <alignment horizontal="right" vertical="center"/>
    </xf>
    <xf numFmtId="179" fontId="4" fillId="0" borderId="43" xfId="0" applyNumberFormat="1" applyFont="1" applyBorder="1" applyAlignment="1">
      <alignment vertical="center"/>
    </xf>
    <xf numFmtId="174" fontId="5" fillId="0" borderId="13" xfId="3" applyNumberFormat="1" applyFont="1" applyBorder="1" applyAlignment="1">
      <alignment vertical="center"/>
    </xf>
    <xf numFmtId="179" fontId="4" fillId="0" borderId="53" xfId="0" applyNumberFormat="1" applyFont="1" applyBorder="1" applyAlignment="1">
      <alignment horizontal="right"/>
    </xf>
    <xf numFmtId="3" fontId="4" fillId="0" borderId="53" xfId="0" applyNumberFormat="1" applyFont="1" applyBorder="1" applyAlignment="1">
      <alignment horizontal="right"/>
    </xf>
    <xf numFmtId="0" fontId="4" fillId="7" borderId="0" xfId="0" applyFont="1" applyFill="1" applyBorder="1" applyAlignment="1">
      <alignment horizontal="center"/>
    </xf>
    <xf numFmtId="0" fontId="24" fillId="0" borderId="0" xfId="0" applyFont="1" applyBorder="1" applyAlignment="1">
      <alignment horizontal="center"/>
    </xf>
    <xf numFmtId="3" fontId="24" fillId="0" borderId="0" xfId="0" applyNumberFormat="1" applyFont="1" applyBorder="1" applyAlignment="1">
      <alignment horizontal="right"/>
    </xf>
    <xf numFmtId="3" fontId="24" fillId="0" borderId="0" xfId="0" applyNumberFormat="1" applyFont="1" applyFill="1" applyBorder="1" applyAlignment="1">
      <alignment horizontal="right"/>
    </xf>
    <xf numFmtId="0" fontId="24" fillId="3" borderId="0" xfId="0" applyFont="1" applyFill="1" applyBorder="1" applyAlignment="1">
      <alignment horizontal="center"/>
    </xf>
    <xf numFmtId="202" fontId="24" fillId="0" borderId="0" xfId="0" applyNumberFormat="1" applyFont="1" applyFill="1" applyBorder="1" applyAlignment="1">
      <alignment horizontal="right"/>
    </xf>
    <xf numFmtId="202" fontId="24" fillId="4" borderId="0" xfId="0" applyNumberFormat="1" applyFont="1" applyFill="1" applyBorder="1" applyAlignment="1">
      <alignment horizontal="right"/>
    </xf>
    <xf numFmtId="202" fontId="24" fillId="0" borderId="0" xfId="0" applyNumberFormat="1" applyFont="1" applyBorder="1" applyAlignment="1">
      <alignment horizontal="right"/>
    </xf>
    <xf numFmtId="0" fontId="32" fillId="0" borderId="0" xfId="0" applyFont="1" applyBorder="1"/>
    <xf numFmtId="0" fontId="24" fillId="0" borderId="0" xfId="0" applyFont="1" applyBorder="1" applyAlignment="1">
      <alignment horizontal="left" indent="2"/>
    </xf>
    <xf numFmtId="0" fontId="24" fillId="0" borderId="0" xfId="0" applyFont="1" applyFill="1" applyBorder="1"/>
    <xf numFmtId="14" fontId="24" fillId="0" borderId="0" xfId="0" applyNumberFormat="1" applyFont="1" applyFill="1" applyBorder="1"/>
    <xf numFmtId="0" fontId="24" fillId="3" borderId="0" xfId="0" applyFont="1" applyFill="1" applyBorder="1" applyAlignment="1">
      <alignment horizontal="left" indent="2"/>
    </xf>
    <xf numFmtId="14" fontId="24" fillId="0" borderId="0" xfId="0" applyNumberFormat="1" applyFont="1" applyBorder="1"/>
    <xf numFmtId="3" fontId="24" fillId="0" borderId="0" xfId="0" applyNumberFormat="1" applyFont="1" applyBorder="1" applyAlignment="1">
      <alignment horizontal="right" vertical="center"/>
    </xf>
    <xf numFmtId="0" fontId="24" fillId="0" borderId="0" xfId="0" applyFont="1" applyFill="1" applyBorder="1" applyAlignment="1">
      <alignment horizontal="left" indent="2"/>
    </xf>
    <xf numFmtId="0" fontId="26" fillId="0" borderId="9" xfId="0" applyFont="1" applyFill="1" applyBorder="1" applyAlignment="1">
      <alignment horizontal="left" vertical="center" indent="1"/>
    </xf>
    <xf numFmtId="0" fontId="33" fillId="0" borderId="0" xfId="0" applyFont="1" applyFill="1" applyBorder="1" applyAlignment="1">
      <alignment horizontal="center" vertical="center"/>
    </xf>
    <xf numFmtId="0" fontId="33" fillId="0" borderId="10" xfId="0" applyFont="1" applyFill="1" applyBorder="1" applyAlignment="1">
      <alignment horizontal="center" vertical="center"/>
    </xf>
    <xf numFmtId="3" fontId="26" fillId="0" borderId="11" xfId="0" applyNumberFormat="1" applyFont="1" applyBorder="1" applyAlignment="1">
      <alignment vertical="center"/>
    </xf>
    <xf numFmtId="9" fontId="34" fillId="0" borderId="10" xfId="3" applyFont="1" applyBorder="1" applyAlignment="1">
      <alignment vertical="center"/>
    </xf>
    <xf numFmtId="9" fontId="34" fillId="0" borderId="12" xfId="3" applyFont="1" applyBorder="1" applyAlignment="1">
      <alignment vertical="center"/>
    </xf>
    <xf numFmtId="0" fontId="23" fillId="0" borderId="9" xfId="0" applyFont="1" applyFill="1" applyBorder="1" applyAlignment="1">
      <alignment horizontal="left" vertical="center" indent="1"/>
    </xf>
    <xf numFmtId="3" fontId="23" fillId="0" borderId="11" xfId="0" applyNumberFormat="1" applyFont="1" applyBorder="1" applyAlignment="1">
      <alignment vertical="center"/>
    </xf>
    <xf numFmtId="9" fontId="35" fillId="0" borderId="10" xfId="3" applyFont="1" applyBorder="1" applyAlignment="1">
      <alignment vertical="center"/>
    </xf>
    <xf numFmtId="9" fontId="35" fillId="0" borderId="12" xfId="3" applyFont="1" applyBorder="1" applyAlignment="1">
      <alignment vertical="center"/>
    </xf>
    <xf numFmtId="0" fontId="23" fillId="0" borderId="9" xfId="0" applyFont="1" applyFill="1" applyBorder="1" applyAlignment="1">
      <alignment horizontal="left" vertical="center" indent="4"/>
    </xf>
    <xf numFmtId="0" fontId="34" fillId="0" borderId="10" xfId="0" applyFont="1" applyBorder="1" applyAlignment="1">
      <alignment vertical="center"/>
    </xf>
    <xf numFmtId="0" fontId="35" fillId="0" borderId="12" xfId="0" applyFont="1" applyBorder="1" applyAlignment="1">
      <alignment vertical="center"/>
    </xf>
    <xf numFmtId="0" fontId="23" fillId="0" borderId="9" xfId="0" applyFont="1" applyFill="1" applyBorder="1" applyAlignment="1">
      <alignment horizontal="left" vertical="center" indent="2"/>
    </xf>
    <xf numFmtId="0" fontId="35" fillId="0" borderId="10" xfId="0" applyFont="1" applyBorder="1" applyAlignment="1">
      <alignment vertical="center"/>
    </xf>
    <xf numFmtId="179" fontId="23" fillId="0" borderId="11" xfId="0" applyNumberFormat="1" applyFont="1" applyBorder="1" applyAlignment="1">
      <alignment vertical="center"/>
    </xf>
    <xf numFmtId="179" fontId="26" fillId="0" borderId="11" xfId="0" applyNumberFormat="1" applyFont="1" applyBorder="1" applyAlignment="1">
      <alignment vertical="center"/>
    </xf>
    <xf numFmtId="174" fontId="34" fillId="0" borderId="10" xfId="0" applyNumberFormat="1" applyFont="1" applyBorder="1" applyAlignment="1">
      <alignment vertical="center"/>
    </xf>
    <xf numFmtId="175" fontId="26" fillId="0" borderId="11" xfId="0" applyNumberFormat="1" applyFont="1" applyBorder="1" applyAlignment="1">
      <alignment vertical="center"/>
    </xf>
    <xf numFmtId="175" fontId="26" fillId="0" borderId="11" xfId="0" applyNumberFormat="1" applyFont="1" applyFill="1" applyBorder="1" applyAlignment="1">
      <alignment vertical="center"/>
    </xf>
    <xf numFmtId="0" fontId="26" fillId="0" borderId="9" xfId="0" applyFont="1" applyBorder="1" applyAlignment="1">
      <alignment horizontal="left" vertical="center" indent="1"/>
    </xf>
    <xf numFmtId="0" fontId="33" fillId="0" borderId="0" xfId="0" applyFont="1" applyBorder="1" applyAlignment="1">
      <alignment horizontal="center" vertical="center"/>
    </xf>
    <xf numFmtId="0" fontId="33" fillId="0" borderId="10" xfId="0" applyFont="1" applyBorder="1" applyAlignment="1">
      <alignment horizontal="center" vertical="center"/>
    </xf>
    <xf numFmtId="1" fontId="26" fillId="0" borderId="11" xfId="0" applyNumberFormat="1" applyFont="1" applyBorder="1" applyAlignment="1">
      <alignment vertical="center"/>
    </xf>
    <xf numFmtId="0" fontId="23" fillId="0" borderId="39" xfId="0" applyFont="1" applyBorder="1" applyAlignment="1">
      <alignment horizontal="left" vertical="center" indent="10"/>
    </xf>
    <xf numFmtId="0" fontId="33" fillId="0" borderId="3" xfId="0" applyFont="1" applyBorder="1" applyAlignment="1">
      <alignment horizontal="center" vertical="center"/>
    </xf>
    <xf numFmtId="0" fontId="33" fillId="0" borderId="13" xfId="0" applyFont="1" applyBorder="1" applyAlignment="1">
      <alignment horizontal="center" vertical="center"/>
    </xf>
    <xf numFmtId="1" fontId="23" fillId="0" borderId="43" xfId="0" applyNumberFormat="1" applyFont="1" applyBorder="1" applyAlignment="1">
      <alignment vertical="center"/>
    </xf>
    <xf numFmtId="0" fontId="35" fillId="0" borderId="13" xfId="0" applyFont="1" applyBorder="1" applyAlignment="1">
      <alignment vertical="center"/>
    </xf>
    <xf numFmtId="3" fontId="23" fillId="0" borderId="43" xfId="0" applyNumberFormat="1" applyFont="1" applyBorder="1" applyAlignment="1">
      <alignment vertical="center"/>
    </xf>
    <xf numFmtId="0" fontId="35" fillId="0" borderId="78" xfId="0" applyFont="1" applyBorder="1" applyAlignment="1">
      <alignment vertical="center"/>
    </xf>
    <xf numFmtId="0" fontId="26" fillId="3" borderId="9" xfId="0" applyFont="1" applyFill="1" applyBorder="1" applyAlignment="1">
      <alignment horizontal="left" vertical="center" indent="1"/>
    </xf>
    <xf numFmtId="0" fontId="33" fillId="3" borderId="0" xfId="0" applyFont="1" applyFill="1" applyBorder="1" applyAlignment="1">
      <alignment horizontal="center" vertical="center"/>
    </xf>
    <xf numFmtId="0" fontId="33" fillId="3" borderId="10" xfId="0" applyFont="1" applyFill="1" applyBorder="1" applyAlignment="1">
      <alignment horizontal="center" vertical="center"/>
    </xf>
    <xf numFmtId="0" fontId="23" fillId="3" borderId="9" xfId="0" applyFont="1" applyFill="1" applyBorder="1" applyAlignment="1">
      <alignment horizontal="left" vertical="center" indent="1"/>
    </xf>
    <xf numFmtId="0" fontId="23" fillId="3" borderId="9" xfId="0" applyFont="1" applyFill="1" applyBorder="1" applyAlignment="1">
      <alignment horizontal="left" vertical="center" indent="4"/>
    </xf>
    <xf numFmtId="3" fontId="23" fillId="0" borderId="11" xfId="0" applyNumberFormat="1" applyFont="1" applyBorder="1" applyAlignment="1">
      <alignment horizontal="right" vertical="center"/>
    </xf>
    <xf numFmtId="0" fontId="23" fillId="0" borderId="9" xfId="0" applyFont="1" applyBorder="1" applyAlignment="1">
      <alignment horizontal="left" vertical="center" indent="2"/>
    </xf>
    <xf numFmtId="3" fontId="23" fillId="3" borderId="11" xfId="0" applyNumberFormat="1" applyFont="1" applyFill="1" applyBorder="1" applyAlignment="1">
      <alignment vertical="center"/>
    </xf>
    <xf numFmtId="0" fontId="23" fillId="0" borderId="41" xfId="0" applyFont="1" applyBorder="1" applyAlignment="1">
      <alignment horizontal="left" vertical="center" indent="2"/>
    </xf>
    <xf numFmtId="0" fontId="33" fillId="0" borderId="79" xfId="0" applyFont="1" applyBorder="1" applyAlignment="1">
      <alignment horizontal="center" vertical="center"/>
    </xf>
    <xf numFmtId="0" fontId="33" fillId="0" borderId="42" xfId="0" applyFont="1" applyBorder="1" applyAlignment="1">
      <alignment horizontal="center" vertical="center"/>
    </xf>
    <xf numFmtId="182" fontId="23" fillId="3" borderId="60" xfId="0" applyNumberFormat="1" applyFont="1" applyFill="1" applyBorder="1" applyAlignment="1">
      <alignment horizontal="right" vertical="center"/>
    </xf>
    <xf numFmtId="0" fontId="35" fillId="0" borderId="42" xfId="0" applyFont="1" applyBorder="1" applyAlignment="1">
      <alignment vertical="center"/>
    </xf>
    <xf numFmtId="182" fontId="23" fillId="0" borderId="60" xfId="0" applyNumberFormat="1" applyFont="1" applyBorder="1" applyAlignment="1">
      <alignment horizontal="right" vertical="center"/>
    </xf>
    <xf numFmtId="0" fontId="35" fillId="0" borderId="66" xfId="0" applyFont="1" applyBorder="1" applyAlignment="1">
      <alignment vertical="center"/>
    </xf>
    <xf numFmtId="3" fontId="23" fillId="0" borderId="11" xfId="0" applyNumberFormat="1" applyFont="1" applyFill="1" applyBorder="1" applyAlignment="1">
      <alignment horizontal="right" vertical="center"/>
    </xf>
    <xf numFmtId="174" fontId="35" fillId="3" borderId="19" xfId="0" applyNumberFormat="1" applyFont="1" applyFill="1" applyBorder="1" applyAlignment="1">
      <alignment vertical="center"/>
    </xf>
    <xf numFmtId="174" fontId="35" fillId="0" borderId="80" xfId="0" applyNumberFormat="1" applyFont="1" applyBorder="1" applyAlignment="1">
      <alignment vertical="center"/>
    </xf>
    <xf numFmtId="174" fontId="35" fillId="0" borderId="10" xfId="3" applyNumberFormat="1" applyFont="1" applyBorder="1" applyAlignment="1">
      <alignment vertical="center"/>
    </xf>
    <xf numFmtId="3" fontId="23" fillId="0" borderId="11" xfId="0" applyNumberFormat="1" applyFont="1" applyFill="1" applyBorder="1" applyAlignment="1">
      <alignment vertical="center"/>
    </xf>
    <xf numFmtId="174" fontId="35" fillId="0" borderId="12" xfId="3" applyNumberFormat="1" applyFont="1" applyBorder="1" applyAlignment="1">
      <alignment vertical="center"/>
    </xf>
    <xf numFmtId="0" fontId="23" fillId="3" borderId="9" xfId="0" applyFont="1" applyFill="1" applyBorder="1" applyAlignment="1">
      <alignment horizontal="left" vertical="center" indent="2"/>
    </xf>
    <xf numFmtId="175" fontId="23" fillId="0" borderId="11" xfId="0" applyNumberFormat="1" applyFont="1" applyBorder="1" applyAlignment="1">
      <alignment vertical="center"/>
    </xf>
    <xf numFmtId="175" fontId="23" fillId="0" borderId="11" xfId="0" applyNumberFormat="1" applyFont="1" applyFill="1" applyBorder="1" applyAlignment="1">
      <alignment vertical="center"/>
    </xf>
    <xf numFmtId="174" fontId="35" fillId="3" borderId="12" xfId="3" applyNumberFormat="1" applyFont="1" applyFill="1" applyBorder="1" applyAlignment="1">
      <alignment vertical="center"/>
    </xf>
    <xf numFmtId="3" fontId="0" fillId="0" borderId="0" xfId="0" applyNumberFormat="1" applyAlignment="1">
      <alignment vertical="center"/>
    </xf>
    <xf numFmtId="0" fontId="2" fillId="0" borderId="2" xfId="0" applyFont="1" applyBorder="1" applyAlignment="1">
      <alignment horizontal="left" indent="1"/>
    </xf>
    <xf numFmtId="0" fontId="29" fillId="0" borderId="2" xfId="0" applyFont="1" applyBorder="1" applyAlignment="1">
      <alignment horizontal="left" indent="1"/>
    </xf>
    <xf numFmtId="0" fontId="14" fillId="0" borderId="2" xfId="0" applyFont="1" applyBorder="1" applyAlignment="1">
      <alignment horizontal="left" indent="1"/>
    </xf>
    <xf numFmtId="0" fontId="30" fillId="0" borderId="2" xfId="2" applyFont="1" applyBorder="1" applyAlignment="1" applyProtection="1">
      <alignment horizontal="left" indent="1"/>
    </xf>
    <xf numFmtId="0" fontId="2" fillId="0" borderId="2" xfId="0" applyFont="1" applyBorder="1" applyAlignment="1">
      <alignment horizontal="left" vertical="center" indent="1"/>
    </xf>
    <xf numFmtId="0" fontId="2" fillId="0" borderId="81" xfId="0" applyFont="1" applyBorder="1" applyAlignment="1">
      <alignment horizontal="left" indent="11"/>
    </xf>
    <xf numFmtId="0" fontId="26" fillId="0" borderId="65" xfId="0" applyFont="1" applyFill="1" applyBorder="1" applyAlignment="1">
      <alignment horizontal="center"/>
    </xf>
    <xf numFmtId="0" fontId="26" fillId="0" borderId="71" xfId="0" applyFont="1" applyFill="1" applyBorder="1" applyAlignment="1">
      <alignment horizontal="center"/>
    </xf>
    <xf numFmtId="0" fontId="26" fillId="0" borderId="5" xfId="0" applyFont="1" applyFill="1" applyBorder="1" applyAlignment="1">
      <alignment horizontal="center"/>
    </xf>
    <xf numFmtId="0" fontId="26" fillId="0" borderId="74" xfId="0" applyFont="1" applyFill="1" applyBorder="1" applyAlignment="1">
      <alignment horizontal="center"/>
    </xf>
    <xf numFmtId="0" fontId="26" fillId="0" borderId="82" xfId="0" applyFont="1" applyBorder="1" applyAlignment="1">
      <alignment horizontal="center"/>
    </xf>
    <xf numFmtId="0" fontId="26" fillId="0" borderId="83" xfId="0" applyFont="1" applyBorder="1" applyAlignment="1">
      <alignment horizontal="center"/>
    </xf>
    <xf numFmtId="0" fontId="26" fillId="0" borderId="48" xfId="0" applyFont="1" applyBorder="1" applyAlignment="1">
      <alignment horizontal="center"/>
    </xf>
    <xf numFmtId="0" fontId="30" fillId="0" borderId="2" xfId="2" applyFont="1" applyBorder="1" applyAlignment="1" applyProtection="1">
      <alignment horizontal="right"/>
    </xf>
    <xf numFmtId="0" fontId="10" fillId="0" borderId="0" xfId="2" applyAlignment="1" applyProtection="1">
      <alignment horizontal="right" vertical="center"/>
    </xf>
    <xf numFmtId="4" fontId="0" fillId="8" borderId="0" xfId="0" applyNumberFormat="1" applyFill="1" applyBorder="1" applyAlignment="1">
      <alignment horizontal="right"/>
    </xf>
    <xf numFmtId="174" fontId="35" fillId="0" borderId="10" xfId="3" applyNumberFormat="1" applyFont="1" applyFill="1" applyBorder="1" applyAlignment="1">
      <alignment vertical="center"/>
    </xf>
    <xf numFmtId="174" fontId="35" fillId="0" borderId="12" xfId="3" applyNumberFormat="1" applyFont="1" applyFill="1" applyBorder="1" applyAlignment="1">
      <alignment vertical="center"/>
    </xf>
    <xf numFmtId="4" fontId="23" fillId="0" borderId="11" xfId="0" applyNumberFormat="1" applyFont="1" applyFill="1" applyBorder="1" applyAlignment="1">
      <alignment horizontal="right" vertical="center"/>
    </xf>
    <xf numFmtId="4" fontId="23" fillId="0" borderId="11" xfId="0" applyNumberFormat="1" applyFont="1" applyFill="1" applyBorder="1" applyAlignment="1">
      <alignment vertical="center"/>
    </xf>
    <xf numFmtId="0" fontId="23" fillId="0" borderId="41" xfId="0" applyFont="1" applyFill="1" applyBorder="1" applyAlignment="1">
      <alignment horizontal="left" vertical="center" indent="2"/>
    </xf>
    <xf numFmtId="0" fontId="33" fillId="0" borderId="79" xfId="0" applyFont="1" applyFill="1" applyBorder="1" applyAlignment="1">
      <alignment horizontal="center" vertical="center"/>
    </xf>
    <xf numFmtId="0" fontId="33" fillId="0" borderId="42" xfId="0" applyFont="1" applyFill="1" applyBorder="1" applyAlignment="1">
      <alignment horizontal="center" vertical="center"/>
    </xf>
    <xf numFmtId="4" fontId="23" fillId="0" borderId="60" xfId="0" applyNumberFormat="1" applyFont="1" applyFill="1" applyBorder="1" applyAlignment="1">
      <alignment horizontal="right" vertical="center"/>
    </xf>
    <xf numFmtId="174" fontId="35" fillId="0" borderId="42" xfId="3" applyNumberFormat="1" applyFont="1" applyFill="1" applyBorder="1" applyAlignment="1">
      <alignment vertical="center"/>
    </xf>
    <xf numFmtId="4" fontId="23" fillId="0" borderId="60" xfId="0" applyNumberFormat="1" applyFont="1" applyFill="1" applyBorder="1" applyAlignment="1">
      <alignment vertical="center"/>
    </xf>
    <xf numFmtId="174" fontId="35" fillId="0" borderId="66" xfId="3" applyNumberFormat="1" applyFont="1" applyFill="1" applyBorder="1" applyAlignment="1">
      <alignment vertical="center"/>
    </xf>
    <xf numFmtId="0" fontId="17" fillId="0" borderId="83" xfId="0" applyFont="1" applyFill="1" applyBorder="1" applyAlignment="1">
      <alignment horizontal="center" vertical="center"/>
    </xf>
    <xf numFmtId="3" fontId="4" fillId="0" borderId="84" xfId="0" applyNumberFormat="1" applyFont="1" applyBorder="1" applyAlignment="1">
      <alignment vertical="center"/>
    </xf>
    <xf numFmtId="174" fontId="5" fillId="0" borderId="48" xfId="3" applyNumberFormat="1" applyFont="1" applyBorder="1" applyAlignment="1">
      <alignment vertical="center"/>
    </xf>
    <xf numFmtId="3" fontId="4" fillId="0" borderId="84" xfId="0" applyNumberFormat="1" applyFont="1" applyFill="1" applyBorder="1" applyAlignment="1">
      <alignment vertical="center"/>
    </xf>
    <xf numFmtId="174" fontId="5" fillId="0" borderId="85" xfId="3" applyNumberFormat="1" applyFont="1" applyBorder="1" applyAlignment="1">
      <alignment vertical="center"/>
    </xf>
    <xf numFmtId="0" fontId="7" fillId="5" borderId="39" xfId="0" applyFont="1" applyFill="1" applyBorder="1" applyAlignment="1">
      <alignment horizontal="center" vertical="center"/>
    </xf>
    <xf numFmtId="0" fontId="7" fillId="5" borderId="3" xfId="0" applyFont="1" applyFill="1" applyBorder="1" applyAlignment="1">
      <alignment horizontal="center" vertical="center"/>
    </xf>
    <xf numFmtId="0" fontId="7" fillId="5" borderId="13" xfId="0" applyFont="1" applyFill="1" applyBorder="1" applyAlignment="1">
      <alignment horizontal="center" vertical="center"/>
    </xf>
    <xf numFmtId="0" fontId="8" fillId="5" borderId="28"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29" xfId="0" applyFont="1" applyFill="1" applyBorder="1" applyAlignment="1">
      <alignment horizontal="center" vertical="center"/>
    </xf>
    <xf numFmtId="0" fontId="8" fillId="5" borderId="86" xfId="0" applyFont="1" applyFill="1" applyBorder="1" applyAlignment="1">
      <alignment horizontal="center" vertical="center"/>
    </xf>
    <xf numFmtId="0" fontId="8" fillId="5" borderId="28" xfId="0" applyFont="1" applyFill="1" applyBorder="1" applyAlignment="1">
      <alignment horizontal="center" vertical="center"/>
    </xf>
    <xf numFmtId="0" fontId="8" fillId="5" borderId="78" xfId="0" applyFont="1" applyFill="1" applyBorder="1" applyAlignment="1">
      <alignment horizontal="center" vertical="center"/>
    </xf>
    <xf numFmtId="0" fontId="2" fillId="5" borderId="87" xfId="0" applyFont="1" applyFill="1" applyBorder="1" applyAlignment="1">
      <alignment horizontal="center" vertical="center"/>
    </xf>
    <xf numFmtId="0" fontId="2" fillId="5" borderId="30" xfId="0" applyFont="1" applyFill="1" applyBorder="1" applyAlignment="1">
      <alignment horizontal="center" vertical="center"/>
    </xf>
    <xf numFmtId="0" fontId="2" fillId="5" borderId="29" xfId="0" applyFont="1" applyFill="1" applyBorder="1" applyAlignment="1">
      <alignment horizontal="center" vertical="center"/>
    </xf>
    <xf numFmtId="0" fontId="2" fillId="5" borderId="86" xfId="0" applyFont="1" applyFill="1" applyBorder="1" applyAlignment="1">
      <alignment horizontal="center" vertical="center"/>
    </xf>
    <xf numFmtId="0" fontId="9" fillId="0" borderId="0" xfId="0" applyFont="1" applyFill="1" applyBorder="1" applyAlignment="1">
      <alignment horizontal="left" vertical="center" wrapText="1" indent="1"/>
    </xf>
  </cellXfs>
  <cellStyles count="4">
    <cellStyle name="Komma" xfId="1" builtinId="3"/>
    <cellStyle name="Link" xfId="2" builtinId="8"/>
    <cellStyle name="Prozent" xfId="3"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15" dropStyle="combo" dx="22" fmlaLink="$I$2" fmlaRange="$J$3:$J$87" noThreeD="1" sel="16" val="4"/>
</file>

<file path=xl/ctrlProps/ctrlProp2.xml><?xml version="1.0" encoding="utf-8"?>
<formControlPr xmlns="http://schemas.microsoft.com/office/spreadsheetml/2009/9/main" objectType="Drop" dropLines="10" dropStyle="combo" dx="22" fmlaLink="$G$2" fmlaRange="$H$3:$H$13" noThreeD="1" sel="1" val="0"/>
</file>

<file path=xl/ctrlProps/ctrlProp3.xml><?xml version="1.0" encoding="utf-8"?>
<formControlPr xmlns="http://schemas.microsoft.com/office/spreadsheetml/2009/9/main" objectType="Drop" dropLines="10" dropStyle="combo" dx="22" fmlaLink="$I$2" fmlaRange="$I$3:$I$13" noThreeD="1" sel="6"/>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0</xdr:col>
      <xdr:colOff>2609850</xdr:colOff>
      <xdr:row>3</xdr:row>
      <xdr:rowOff>219075</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38100"/>
          <a:ext cx="2562225" cy="9810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4648200</xdr:colOff>
      <xdr:row>1</xdr:row>
      <xdr:rowOff>57150</xdr:rowOff>
    </xdr:from>
    <xdr:to>
      <xdr:col>0</xdr:col>
      <xdr:colOff>4829175</xdr:colOff>
      <xdr:row>1</xdr:row>
      <xdr:rowOff>161925</xdr:rowOff>
    </xdr:to>
    <xdr:sp macro="" textlink="">
      <xdr:nvSpPr>
        <xdr:cNvPr id="3076" name="AutoShape 4"/>
        <xdr:cNvSpPr>
          <a:spLocks noChangeArrowheads="1"/>
        </xdr:cNvSpPr>
      </xdr:nvSpPr>
      <xdr:spPr bwMode="auto">
        <a:xfrm>
          <a:off x="4648200" y="361950"/>
          <a:ext cx="180975" cy="104775"/>
        </a:xfrm>
        <a:prstGeom prst="rightArrow">
          <a:avLst>
            <a:gd name="adj1" fmla="val 50000"/>
            <a:gd name="adj2" fmla="val 43182"/>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266700</xdr:colOff>
          <xdr:row>1</xdr:row>
          <xdr:rowOff>9525</xdr:rowOff>
        </xdr:from>
        <xdr:to>
          <xdr:col>4</xdr:col>
          <xdr:colOff>514350</xdr:colOff>
          <xdr:row>1</xdr:row>
          <xdr:rowOff>447675</xdr:rowOff>
        </xdr:to>
        <xdr:sp macro="" textlink="">
          <xdr:nvSpPr>
            <xdr:cNvPr id="118828" name="Drop Down 44" hidden="1">
              <a:extLst>
                <a:ext uri="{63B3BB69-23CF-44E3-9099-C40C66FF867C}">
                  <a14:compatExt spid="_x0000_s1188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47625</xdr:colOff>
      <xdr:row>0</xdr:row>
      <xdr:rowOff>57150</xdr:rowOff>
    </xdr:from>
    <xdr:to>
      <xdr:col>0</xdr:col>
      <xdr:colOff>781050</xdr:colOff>
      <xdr:row>1</xdr:row>
      <xdr:rowOff>161925</xdr:rowOff>
    </xdr:to>
    <xdr:pic>
      <xdr:nvPicPr>
        <xdr:cNvPr id="118833" name="Picture 49"/>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57150"/>
          <a:ext cx="733425" cy="381000"/>
        </a:xfrm>
        <a:prstGeom prst="rect">
          <a:avLst/>
        </a:prstGeom>
        <a:noFill/>
        <a:ln>
          <a:noFill/>
        </a:ln>
        <a:extLst>
          <a:ext uri="{909E8E84-426E-40DD-AFC4-6F175D3DCCD1}">
            <a14:hiddenFill xmlns:a14="http://schemas.microsoft.com/office/drawing/2010/main">
              <a:solidFill>
                <a:srgbClr xmlns:mc="http://schemas.openxmlformats.org/markup-compatibility/2006" val="CCFFCC" mc:Ignorable="a14" a14:legacySpreadsheetColorIndex="42">
                  <a:alpha val="50000"/>
                </a:srgbClr>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57150</xdr:colOff>
      <xdr:row>0</xdr:row>
      <xdr:rowOff>104775</xdr:rowOff>
    </xdr:from>
    <xdr:to>
      <xdr:col>13</xdr:col>
      <xdr:colOff>238125</xdr:colOff>
      <xdr:row>0</xdr:row>
      <xdr:rowOff>219075</xdr:rowOff>
    </xdr:to>
    <xdr:sp macro="" textlink="">
      <xdr:nvSpPr>
        <xdr:cNvPr id="118834" name="AutoShape 50"/>
        <xdr:cNvSpPr>
          <a:spLocks noChangeArrowheads="1"/>
        </xdr:cNvSpPr>
      </xdr:nvSpPr>
      <xdr:spPr bwMode="auto">
        <a:xfrm>
          <a:off x="6886575" y="104775"/>
          <a:ext cx="180975" cy="114300"/>
        </a:xfrm>
        <a:prstGeom prst="rightArrow">
          <a:avLst>
            <a:gd name="adj1" fmla="val 50000"/>
            <a:gd name="adj2" fmla="val 39583"/>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2</xdr:col>
          <xdr:colOff>971550</xdr:colOff>
          <xdr:row>1</xdr:row>
          <xdr:rowOff>285750</xdr:rowOff>
        </xdr:to>
        <xdr:sp macro="" textlink="">
          <xdr:nvSpPr>
            <xdr:cNvPr id="122890" name="Drop Down 10" hidden="1">
              <a:extLst>
                <a:ext uri="{63B3BB69-23CF-44E3-9099-C40C66FF867C}">
                  <a14:compatExt spid="_x0000_s1228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twoCellAnchor>
    <xdr:from>
      <xdr:col>0</xdr:col>
      <xdr:colOff>47625</xdr:colOff>
      <xdr:row>0</xdr:row>
      <xdr:rowOff>57150</xdr:rowOff>
    </xdr:from>
    <xdr:to>
      <xdr:col>0</xdr:col>
      <xdr:colOff>781050</xdr:colOff>
      <xdr:row>1</xdr:row>
      <xdr:rowOff>161925</xdr:rowOff>
    </xdr:to>
    <xdr:pic>
      <xdr:nvPicPr>
        <xdr:cNvPr id="122891" name="Picture 11"/>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7625" y="57150"/>
          <a:ext cx="733425" cy="381000"/>
        </a:xfrm>
        <a:prstGeom prst="rect">
          <a:avLst/>
        </a:prstGeom>
        <a:noFill/>
        <a:ln>
          <a:noFill/>
        </a:ln>
        <a:extLst>
          <a:ext uri="{909E8E84-426E-40DD-AFC4-6F175D3DCCD1}">
            <a14:hiddenFill xmlns:a14="http://schemas.microsoft.com/office/drawing/2010/main">
              <a:solidFill>
                <a:srgbClr xmlns:mc="http://schemas.openxmlformats.org/markup-compatibility/2006" val="CCFFCC" mc:Ignorable="a14" a14:legacySpreadsheetColorIndex="42">
                  <a:alpha val="50000"/>
                </a:srgbClr>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57150</xdr:colOff>
      <xdr:row>0</xdr:row>
      <xdr:rowOff>104775</xdr:rowOff>
    </xdr:from>
    <xdr:to>
      <xdr:col>11</xdr:col>
      <xdr:colOff>238125</xdr:colOff>
      <xdr:row>0</xdr:row>
      <xdr:rowOff>219075</xdr:rowOff>
    </xdr:to>
    <xdr:sp macro="" textlink="">
      <xdr:nvSpPr>
        <xdr:cNvPr id="122892" name="AutoShape 12"/>
        <xdr:cNvSpPr>
          <a:spLocks noChangeArrowheads="1"/>
        </xdr:cNvSpPr>
      </xdr:nvSpPr>
      <xdr:spPr bwMode="auto">
        <a:xfrm>
          <a:off x="6829425" y="104775"/>
          <a:ext cx="180975" cy="114300"/>
        </a:xfrm>
        <a:prstGeom prst="rightArrow">
          <a:avLst>
            <a:gd name="adj1" fmla="val 50000"/>
            <a:gd name="adj2" fmla="val 39583"/>
          </a:avLst>
        </a:pr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0</xdr:colOff>
          <xdr:row>1</xdr:row>
          <xdr:rowOff>0</xdr:rowOff>
        </xdr:from>
        <xdr:to>
          <xdr:col>4</xdr:col>
          <xdr:colOff>0</xdr:colOff>
          <xdr:row>1</xdr:row>
          <xdr:rowOff>285750</xdr:rowOff>
        </xdr:to>
        <xdr:sp macro="" textlink="">
          <xdr:nvSpPr>
            <xdr:cNvPr id="122895" name="Drop Down 15" hidden="1">
              <a:extLst>
                <a:ext uri="{63B3BB69-23CF-44E3-9099-C40C66FF867C}">
                  <a14:compatExt spid="_x0000_s1228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50"/>
  <sheetViews>
    <sheetView showGridLines="0" zoomScaleNormal="100" workbookViewId="0">
      <selection activeCell="B1" sqref="B1"/>
    </sheetView>
  </sheetViews>
  <sheetFormatPr baseColWidth="10" defaultRowHeight="23.25"/>
  <cols>
    <col min="1" max="1" width="90" style="1" bestFit="1" customWidth="1"/>
  </cols>
  <sheetData>
    <row r="1" spans="1:1" ht="24" thickTop="1">
      <c r="A1" s="2"/>
    </row>
    <row r="2" spans="1:1" ht="15.75">
      <c r="A2" s="491" t="s">
        <v>321</v>
      </c>
    </row>
    <row r="3" spans="1:1">
      <c r="A3" s="3"/>
    </row>
    <row r="4" spans="1:1">
      <c r="A4" s="3"/>
    </row>
    <row r="5" spans="1:1">
      <c r="A5" s="3"/>
    </row>
    <row r="6" spans="1:1" ht="27.75">
      <c r="A6" s="4" t="s">
        <v>251</v>
      </c>
    </row>
    <row r="7" spans="1:1">
      <c r="A7" s="5" t="s">
        <v>318</v>
      </c>
    </row>
    <row r="8" spans="1:1" ht="27.75">
      <c r="A8" s="4" t="s">
        <v>55</v>
      </c>
    </row>
    <row r="9" spans="1:1">
      <c r="A9" s="5"/>
    </row>
    <row r="10" spans="1:1">
      <c r="A10" s="5"/>
    </row>
    <row r="11" spans="1:1">
      <c r="A11" s="5" t="s">
        <v>54</v>
      </c>
    </row>
    <row r="12" spans="1:1">
      <c r="A12" s="5" t="s">
        <v>53</v>
      </c>
    </row>
    <row r="13" spans="1:1">
      <c r="A13" s="5"/>
    </row>
    <row r="14" spans="1:1">
      <c r="A14" s="3"/>
    </row>
    <row r="15" spans="1:1">
      <c r="A15" s="5" t="s">
        <v>325</v>
      </c>
    </row>
    <row r="16" spans="1:1">
      <c r="A16" s="5"/>
    </row>
    <row r="17" spans="1:1">
      <c r="A17" s="3"/>
    </row>
    <row r="18" spans="1:1">
      <c r="A18" s="3"/>
    </row>
    <row r="19" spans="1:1" ht="15.75">
      <c r="A19" s="478" t="s">
        <v>326</v>
      </c>
    </row>
    <row r="20" spans="1:1" ht="15.75">
      <c r="A20" s="478"/>
    </row>
    <row r="21" spans="1:1" ht="15">
      <c r="A21" s="479" t="s">
        <v>316</v>
      </c>
    </row>
    <row r="22" spans="1:1" ht="15">
      <c r="A22" s="479" t="s">
        <v>317</v>
      </c>
    </row>
    <row r="23" spans="1:1" ht="15">
      <c r="A23" s="479" t="s">
        <v>306</v>
      </c>
    </row>
    <row r="24" spans="1:1" ht="15">
      <c r="A24" s="479" t="s">
        <v>307</v>
      </c>
    </row>
    <row r="25" spans="1:1" ht="15">
      <c r="A25" s="479" t="s">
        <v>308</v>
      </c>
    </row>
    <row r="26" spans="1:1" ht="15">
      <c r="A26" s="479" t="s">
        <v>309</v>
      </c>
    </row>
    <row r="27" spans="1:1" ht="15">
      <c r="A27" s="479" t="s">
        <v>310</v>
      </c>
    </row>
    <row r="28" spans="1:1" ht="15">
      <c r="A28" s="479" t="s">
        <v>315</v>
      </c>
    </row>
    <row r="29" spans="1:1" ht="15">
      <c r="A29" s="479" t="s">
        <v>246</v>
      </c>
    </row>
    <row r="30" spans="1:1" ht="15">
      <c r="A30" s="479" t="s">
        <v>247</v>
      </c>
    </row>
    <row r="31" spans="1:1" ht="15">
      <c r="A31" s="479" t="s">
        <v>274</v>
      </c>
    </row>
    <row r="32" spans="1:1" ht="15">
      <c r="A32" s="479" t="s">
        <v>273</v>
      </c>
    </row>
    <row r="33" spans="1:1">
      <c r="A33" s="480"/>
    </row>
    <row r="34" spans="1:1">
      <c r="A34" s="3"/>
    </row>
    <row r="35" spans="1:1" ht="15.75">
      <c r="A35" s="481"/>
    </row>
    <row r="36" spans="1:1" ht="15.75">
      <c r="A36" s="482" t="s">
        <v>320</v>
      </c>
    </row>
    <row r="37" spans="1:1" ht="16.5" thickBot="1">
      <c r="A37" s="483" t="s">
        <v>319</v>
      </c>
    </row>
    <row r="38" spans="1:1" ht="24" thickTop="1"/>
    <row r="41" spans="1:1" ht="15">
      <c r="A41" s="103" t="s">
        <v>291</v>
      </c>
    </row>
    <row r="42" spans="1:1" ht="15">
      <c r="A42" s="103" t="s">
        <v>293</v>
      </c>
    </row>
    <row r="43" spans="1:1" ht="15">
      <c r="A43" s="103" t="s">
        <v>294</v>
      </c>
    </row>
    <row r="44" spans="1:1" ht="15">
      <c r="A44" s="103" t="s">
        <v>295</v>
      </c>
    </row>
    <row r="45" spans="1:1" ht="15">
      <c r="A45" s="103" t="s">
        <v>296</v>
      </c>
    </row>
    <row r="46" spans="1:1" ht="15">
      <c r="A46" s="103" t="s">
        <v>297</v>
      </c>
    </row>
    <row r="47" spans="1:1" ht="15">
      <c r="A47" s="103" t="s">
        <v>327</v>
      </c>
    </row>
    <row r="48" spans="1:1" ht="15">
      <c r="A48" s="103"/>
    </row>
    <row r="49" spans="1:1" ht="15">
      <c r="A49" s="103"/>
    </row>
    <row r="50" spans="1:1" ht="15">
      <c r="A50" s="103"/>
    </row>
  </sheetData>
  <phoneticPr fontId="0" type="noConversion"/>
  <hyperlinks>
    <hyperlink ref="A2" location="Strukturdaten!A2" display="        zurück"/>
  </hyperlinks>
  <printOptions horizontalCentered="1"/>
  <pageMargins left="0.59055118110236227" right="0.59055118110236227" top="0.59055118110236227" bottom="0.59055118110236227" header="0.51181102362204722" footer="0.19685039370078741"/>
  <pageSetup paperSize="9" fitToHeight="0" orientation="portrait" r:id="rId1"/>
  <headerFooter alignWithMargins="0">
    <oddFooter>&amp;C&amp;F</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98"/>
  <sheetViews>
    <sheetView tabSelected="1" zoomScaleNormal="100" workbookViewId="0">
      <pane ySplit="2" topLeftCell="A3" activePane="bottomLeft" state="frozen"/>
      <selection pane="bottomLeft" activeCell="A3" sqref="A3"/>
    </sheetView>
  </sheetViews>
  <sheetFormatPr baseColWidth="10" defaultRowHeight="12.75"/>
  <cols>
    <col min="1" max="1" width="36.85546875" style="7" customWidth="1"/>
    <col min="2" max="2" width="6.7109375" style="8" customWidth="1"/>
    <col min="3" max="3" width="11.5703125" style="6" customWidth="1"/>
    <col min="4" max="4" width="14.7109375" style="7" customWidth="1"/>
    <col min="5" max="5" width="7.85546875" style="7" customWidth="1"/>
    <col min="6" max="6" width="14.7109375" style="7" customWidth="1"/>
    <col min="7" max="7" width="7.85546875" style="7" customWidth="1"/>
    <col min="8" max="8" width="2.140625" style="7" customWidth="1"/>
    <col min="9" max="9" width="11.42578125" style="7" hidden="1" customWidth="1"/>
    <col min="10" max="10" width="36" style="7" hidden="1" customWidth="1"/>
    <col min="11" max="11" width="11.42578125" style="7" hidden="1" customWidth="1"/>
    <col min="12" max="12" width="4.5703125" style="7" hidden="1" customWidth="1"/>
    <col min="13" max="13" width="15.85546875" style="7" hidden="1" customWidth="1"/>
    <col min="14" max="14" width="15.85546875" style="7" customWidth="1"/>
    <col min="15" max="16384" width="11.42578125" style="7"/>
  </cols>
  <sheetData>
    <row r="1" spans="1:14" ht="21.75" customHeight="1" thickTop="1" thickBot="1">
      <c r="A1" s="101" t="s">
        <v>102</v>
      </c>
      <c r="B1" s="68"/>
      <c r="C1" s="69"/>
      <c r="D1" s="519" t="str">
        <f>IF(I2=85,"Land",IF(J2=0,"",IF(I2&gt;40,"Kreis",IF(I2&gt;5,"Dienstbezirk",IF(I2&gt;0,"Regierungsbezirk",0)))))</f>
        <v>Dienstbezirk</v>
      </c>
      <c r="E1" s="520"/>
      <c r="F1" s="515" t="s">
        <v>19</v>
      </c>
      <c r="G1" s="516"/>
      <c r="N1" s="492" t="s">
        <v>248</v>
      </c>
    </row>
    <row r="2" spans="1:14" ht="36" customHeight="1" thickBot="1">
      <c r="A2" s="510">
        <v>2011</v>
      </c>
      <c r="B2" s="511"/>
      <c r="C2" s="512"/>
      <c r="D2" s="513" t="str">
        <f>MID(J2,18,25)</f>
        <v>Ilshofen</v>
      </c>
      <c r="E2" s="514"/>
      <c r="F2" s="517" t="s">
        <v>18</v>
      </c>
      <c r="G2" s="518"/>
      <c r="H2" s="89"/>
      <c r="I2" s="90">
        <v>16</v>
      </c>
      <c r="J2" s="91" t="str">
        <f>VLOOKUP(I2,I3:J87,2)</f>
        <v>Dienstbezirk     Ilshofen</v>
      </c>
      <c r="K2" s="92"/>
    </row>
    <row r="3" spans="1:14" s="17" customFormat="1" ht="18.75" customHeight="1">
      <c r="A3" s="10" t="s">
        <v>67</v>
      </c>
      <c r="B3" s="11"/>
      <c r="C3" s="12"/>
      <c r="D3" s="13"/>
      <c r="E3" s="14" t="s">
        <v>17</v>
      </c>
      <c r="F3" s="15"/>
      <c r="G3" s="16" t="s">
        <v>17</v>
      </c>
      <c r="H3" s="7"/>
      <c r="I3" s="53">
        <f>ROWS($I$3:I3)</f>
        <v>1</v>
      </c>
      <c r="J3" s="57" t="str">
        <f>$M$3&amp;'2011'!F$4</f>
        <v>Regierungsbezirk Stuttgart (RP)</v>
      </c>
      <c r="L3" s="87">
        <f>ROWS($L$3:L3)</f>
        <v>1</v>
      </c>
      <c r="M3" s="88" t="s">
        <v>226</v>
      </c>
    </row>
    <row r="4" spans="1:14" ht="15" customHeight="1">
      <c r="A4" s="421" t="str">
        <f>'2010'!B7</f>
        <v>Bodenfläche (Flächenerhebung) insg.</v>
      </c>
      <c r="B4" s="422">
        <f>'2011'!C7</f>
        <v>2010</v>
      </c>
      <c r="C4" s="423" t="str">
        <f>'2010'!D7</f>
        <v>ha</v>
      </c>
      <c r="D4" s="424">
        <f>IF(ISERROR(HLOOKUP($I$2,Daten2011,'2011'!A7,FALSE)),"",HLOOKUP($I$2,Daten2011,'2011'!A7,FALSE))</f>
        <v>148401</v>
      </c>
      <c r="E4" s="425">
        <f t="shared" ref="E4:E9" si="0">IF(ISERROR(D4/$D$4),"",D4/$D$4)</f>
        <v>1</v>
      </c>
      <c r="F4" s="424">
        <f>'2011'!CL7</f>
        <v>3575148</v>
      </c>
      <c r="G4" s="426">
        <f t="shared" ref="G4:G9" si="1">F4/$F$4</f>
        <v>1</v>
      </c>
      <c r="H4" s="24"/>
      <c r="I4" s="53">
        <f>ROWS($I$3:I4)</f>
        <v>2</v>
      </c>
      <c r="J4" s="57" t="str">
        <f>$M$3&amp;'2011'!G$4</f>
        <v>Regierungsbezirk Karlsruhe (RP)</v>
      </c>
      <c r="L4" s="53">
        <f>ROWS($L$3:L4)</f>
        <v>2</v>
      </c>
      <c r="M4" s="57" t="s">
        <v>43</v>
      </c>
    </row>
    <row r="5" spans="1:14" ht="15" customHeight="1">
      <c r="A5" s="427" t="str">
        <f>'2010'!B8</f>
        <v xml:space="preserve">davon Siedlungs- und Verkehrsfläche 1) </v>
      </c>
      <c r="B5" s="422"/>
      <c r="C5" s="423" t="str">
        <f>'2010'!D8</f>
        <v>ha</v>
      </c>
      <c r="D5" s="428">
        <f>IF(ISERROR(HLOOKUP($I$2,Daten2011,'2011'!A8,FALSE)),"",HLOOKUP($I$2,Daten2011,'2011'!A8,FALSE))</f>
        <v>16895</v>
      </c>
      <c r="E5" s="429">
        <f t="shared" si="0"/>
        <v>0.11384694173219857</v>
      </c>
      <c r="F5" s="428">
        <f>'2011'!CL8</f>
        <v>505380</v>
      </c>
      <c r="G5" s="430">
        <f t="shared" si="1"/>
        <v>0.14135918289256835</v>
      </c>
      <c r="H5" s="24"/>
      <c r="I5" s="53">
        <f>ROWS($I$3:I5)</f>
        <v>3</v>
      </c>
      <c r="J5" s="57" t="str">
        <f>$M$3&amp;'2011'!H$4</f>
        <v>Regierungsbezirk Freiburg (RP)</v>
      </c>
      <c r="L5" s="53">
        <f>ROWS($L$3:L5)</f>
        <v>3</v>
      </c>
      <c r="M5" s="57" t="s">
        <v>23</v>
      </c>
    </row>
    <row r="6" spans="1:14" ht="15" customHeight="1">
      <c r="A6" s="431" t="str">
        <f>'2010'!B9</f>
        <v>Landwirtschaftsfläche</v>
      </c>
      <c r="B6" s="422"/>
      <c r="C6" s="423" t="str">
        <f>'2010'!D9</f>
        <v>ha</v>
      </c>
      <c r="D6" s="428">
        <f>IF(ISERROR(HLOOKUP($I$2,Daten2011,'2011'!A9,FALSE)),"",HLOOKUP($I$2,Daten2011,'2011'!A9,FALSE))</f>
        <v>82270</v>
      </c>
      <c r="E6" s="429">
        <f t="shared" si="0"/>
        <v>0.55437631821887989</v>
      </c>
      <c r="F6" s="428">
        <f>'2011'!CL9</f>
        <v>1635605</v>
      </c>
      <c r="G6" s="430">
        <f t="shared" si="1"/>
        <v>0.45749294854366868</v>
      </c>
      <c r="H6" s="24"/>
      <c r="I6" s="53">
        <f>ROWS($I$3:I6)</f>
        <v>4</v>
      </c>
      <c r="J6" s="57" t="str">
        <f>$M$3&amp;'2011'!I$4</f>
        <v>Regierungsbezirk Tübingen (RP)</v>
      </c>
      <c r="L6" s="54">
        <f>ROWS($L$3:L6)</f>
        <v>4</v>
      </c>
      <c r="M6" s="58" t="s">
        <v>150</v>
      </c>
    </row>
    <row r="7" spans="1:14" ht="15" customHeight="1">
      <c r="A7" s="431" t="str">
        <f>'2010'!B10</f>
        <v>Waldfläche</v>
      </c>
      <c r="B7" s="422"/>
      <c r="C7" s="423" t="str">
        <f>'2010'!D10</f>
        <v>ha</v>
      </c>
      <c r="D7" s="428">
        <f>IF(ISERROR(HLOOKUP($I$2,Daten2011,'2011'!A10,FALSE)),"",HLOOKUP($I$2,Daten2011,'2011'!A10,FALSE))</f>
        <v>46926</v>
      </c>
      <c r="E7" s="429">
        <f t="shared" si="0"/>
        <v>0.31621080720480321</v>
      </c>
      <c r="F7" s="428">
        <f>'2011'!CL10</f>
        <v>1368800</v>
      </c>
      <c r="G7" s="430">
        <f t="shared" si="1"/>
        <v>0.3828652687944667</v>
      </c>
      <c r="H7" s="24"/>
      <c r="I7" s="54">
        <f>ROWS($I$3:I7)</f>
        <v>5</v>
      </c>
      <c r="J7" s="58"/>
    </row>
    <row r="8" spans="1:14" ht="15" customHeight="1">
      <c r="A8" s="431" t="str">
        <f>'2010'!B11</f>
        <v>Wasserfläche</v>
      </c>
      <c r="B8" s="422"/>
      <c r="C8" s="423" t="str">
        <f>'2010'!D11</f>
        <v>ha</v>
      </c>
      <c r="D8" s="428">
        <f>IF(ISERROR(HLOOKUP($I$2,Daten2011,'2011'!A11,FALSE)),"",HLOOKUP($I$2,Daten2011,'2011'!A11,FALSE))</f>
        <v>1347</v>
      </c>
      <c r="E8" s="429">
        <f t="shared" si="0"/>
        <v>9.0767582428689826E-3</v>
      </c>
      <c r="F8" s="428">
        <f>'2011'!CL11</f>
        <v>38568</v>
      </c>
      <c r="G8" s="430">
        <f t="shared" si="1"/>
        <v>1.0787805148206452E-2</v>
      </c>
      <c r="H8" s="24"/>
      <c r="I8" s="53">
        <f>ROWS($I$3:I8)</f>
        <v>6</v>
      </c>
      <c r="J8" s="57" t="str">
        <f>$M$4&amp;"     "&amp;'2011'!K$4</f>
        <v>Dienstbezirk     Ellwangen</v>
      </c>
    </row>
    <row r="9" spans="1:14" ht="15" customHeight="1">
      <c r="A9" s="431" t="str">
        <f>'2010'!B12</f>
        <v>Übrige Nutzungsarten</v>
      </c>
      <c r="B9" s="422"/>
      <c r="C9" s="423" t="str">
        <f>'2010'!D12</f>
        <v>ha</v>
      </c>
      <c r="D9" s="428">
        <f>IF(ISERROR(HLOOKUP($I$2,Daten2011,'2011'!A12,FALSE)),"",HLOOKUP($I$2,Daten2011,'2011'!A12,FALSE))</f>
        <v>962</v>
      </c>
      <c r="E9" s="429">
        <f t="shared" si="0"/>
        <v>6.4824361021825995E-3</v>
      </c>
      <c r="F9" s="428">
        <f>'2011'!CL12</f>
        <v>26794</v>
      </c>
      <c r="G9" s="430">
        <f t="shared" si="1"/>
        <v>7.4945149123896411E-3</v>
      </c>
      <c r="H9" s="24"/>
      <c r="I9" s="53">
        <f>ROWS($I$3:I9)</f>
        <v>7</v>
      </c>
      <c r="J9" s="57" t="str">
        <f>$M$4&amp;"     "&amp;'2011'!L$4</f>
        <v>Dienstbezirk     Backnang</v>
      </c>
    </row>
    <row r="10" spans="1:14" ht="15" customHeight="1">
      <c r="A10" s="421" t="str">
        <f>'2010'!B13</f>
        <v>Wohnbevölkerung</v>
      </c>
      <c r="B10" s="422">
        <f>'2011'!C13</f>
        <v>2010</v>
      </c>
      <c r="C10" s="423" t="str">
        <f>'2010'!D13</f>
        <v>Personen</v>
      </c>
      <c r="D10" s="424">
        <f>IF(ISERROR(HLOOKUP($I$2,Daten2011,'2011'!A13,FALSE)),"",HLOOKUP($I$2,Daten2011,'2011'!A13,FALSE))</f>
        <v>188420</v>
      </c>
      <c r="E10" s="432"/>
      <c r="F10" s="424">
        <f>'2011'!CL13</f>
        <v>10753880</v>
      </c>
      <c r="G10" s="433"/>
      <c r="I10" s="53">
        <f>ROWS($I$3:I10)</f>
        <v>8</v>
      </c>
      <c r="J10" s="57" t="str">
        <f>$M$4&amp;"     "&amp;'2011'!M$4</f>
        <v>Dienstbezirk     Bad Mergentheim</v>
      </c>
    </row>
    <row r="11" spans="1:14" ht="15" customHeight="1" thickBot="1">
      <c r="A11" s="434" t="str">
        <f>'2010'!B14</f>
        <v xml:space="preserve">Bevölkerungsdichte </v>
      </c>
      <c r="B11" s="422"/>
      <c r="C11" s="423" t="str">
        <f>'2010'!D14</f>
        <v>Pers./km²</v>
      </c>
      <c r="D11" s="428">
        <f>IF(ISERROR(HLOOKUP($I$2,Daten2011,'2011'!A14,FALSE)),"",HLOOKUP($I$2,Daten2011,'2011'!A14,FALSE))</f>
        <v>126.96679941509828</v>
      </c>
      <c r="E11" s="435"/>
      <c r="F11" s="428">
        <f>'2011'!CL14</f>
        <v>300.79537965980705</v>
      </c>
      <c r="G11" s="433"/>
      <c r="I11" s="53">
        <f>ROWS($I$3:I11)</f>
        <v>9</v>
      </c>
      <c r="J11" s="57" t="str">
        <f>$M$4&amp;"     "&amp;'2011'!N$4</f>
        <v>Dienstbezirk     Göppingen</v>
      </c>
    </row>
    <row r="12" spans="1:14" ht="18.75" customHeight="1">
      <c r="A12" s="10" t="str">
        <f>'2011'!B15</f>
        <v>Arbeitsmarkt und Wirtschaftsrechnung</v>
      </c>
      <c r="B12" s="11"/>
      <c r="C12" s="12"/>
      <c r="D12" s="13"/>
      <c r="E12" s="14" t="s">
        <v>17</v>
      </c>
      <c r="F12" s="15"/>
      <c r="G12" s="16" t="s">
        <v>17</v>
      </c>
      <c r="I12" s="53">
        <f>ROWS($I$3:I12)</f>
        <v>10</v>
      </c>
      <c r="J12" s="57" t="str">
        <f>$M$4&amp;"     "&amp;'2011'!O$4</f>
        <v>Dienstbezirk     Heidenheim</v>
      </c>
    </row>
    <row r="13" spans="1:14" ht="15" customHeight="1">
      <c r="A13" s="18" t="str">
        <f>'2011'!B16</f>
        <v>Erwerbstätige (am Arbeitsort) insg.</v>
      </c>
      <c r="B13" s="19">
        <f>'2011'!C16</f>
        <v>2009</v>
      </c>
      <c r="C13" s="20" t="str">
        <f>'2010'!D16</f>
        <v>Personen</v>
      </c>
      <c r="D13" s="21">
        <f>IF(ISERROR(HLOOKUP($I$2,Daten2011,'2011'!A16,FALSE)),"",HLOOKUP($I$2,Daten2011,'2011'!A16,FALSE))</f>
        <v>95400</v>
      </c>
      <c r="E13" s="22">
        <f>IF(ISERROR(D13/$D$10),"",D13/$D$10)</f>
        <v>0.50631567774121644</v>
      </c>
      <c r="F13" s="21">
        <f>'2011'!CL16</f>
        <v>5571500</v>
      </c>
      <c r="G13" s="23">
        <f>F13/$F$10</f>
        <v>0.51809207467444307</v>
      </c>
      <c r="I13" s="53">
        <f>ROWS($I$3:I13)</f>
        <v>11</v>
      </c>
      <c r="J13" s="57" t="str">
        <f>$M$4&amp;"     "&amp;'2011'!P$4</f>
        <v>Dienstbezirk     Heilbronn *)</v>
      </c>
    </row>
    <row r="14" spans="1:14" ht="15" customHeight="1">
      <c r="A14" s="434" t="str">
        <f>'2011'!B17</f>
        <v>Arbeitslosenquote (Jahresdurchschn.) 2)</v>
      </c>
      <c r="B14" s="422">
        <f>'2011'!C17</f>
        <v>2010</v>
      </c>
      <c r="C14" s="423" t="str">
        <f>'2010'!D17</f>
        <v>%</v>
      </c>
      <c r="D14" s="436">
        <f>IF(ISERROR(HLOOKUP($I$2,Daten2011,'2011'!A17,FALSE)),"",HLOOKUP($I$2,Daten2011,'2011'!A17,FALSE))</f>
        <v>3.5</v>
      </c>
      <c r="E14" s="429">
        <f>IF(ISERROR(D14/$D$10),"",D14/$D$10)</f>
        <v>1.8575522768283622E-5</v>
      </c>
      <c r="F14" s="436">
        <f>'2011'!CL17</f>
        <v>4.9000000000000004</v>
      </c>
      <c r="G14" s="430">
        <f>F14/$F$10</f>
        <v>4.5564949580988447E-7</v>
      </c>
      <c r="H14" s="24"/>
      <c r="I14" s="53">
        <f>ROWS($I$3:I14)</f>
        <v>12</v>
      </c>
      <c r="J14" s="57" t="str">
        <f>$M$4&amp;"     "&amp;'2011'!Q$4</f>
        <v>Dienstbezirk     Herrenberg</v>
      </c>
    </row>
    <row r="15" spans="1:14" ht="15" customHeight="1">
      <c r="A15" s="434" t="str">
        <f>'2011'!B18</f>
        <v>Arbeitskräfte i.d. Landwirtschaft</v>
      </c>
      <c r="B15" s="422"/>
      <c r="C15" s="423" t="str">
        <f>'2010'!D18</f>
        <v>Personen</v>
      </c>
      <c r="D15" s="428">
        <f>IF(ISERROR(HLOOKUP($I$2,Daten2011,'2011'!A18,FALSE)),"",HLOOKUP($I$2,Daten2011,'2011'!A18,FALSE))</f>
        <v>5542</v>
      </c>
      <c r="E15" s="429">
        <f>IF(ISERROR(D15/$D$10),"",D15/$D$10)</f>
        <v>2.9413013480522238E-2</v>
      </c>
      <c r="F15" s="428">
        <f>'2011'!CL18</f>
        <v>190117</v>
      </c>
      <c r="G15" s="430">
        <f>F15/$F$10</f>
        <v>1.767892146834445E-2</v>
      </c>
      <c r="H15" s="24"/>
      <c r="I15" s="53">
        <f>ROWS($I$3:I15)</f>
        <v>13</v>
      </c>
      <c r="J15" s="57" t="str">
        <f>$M$4&amp;"     "&amp;'2011'!R$4</f>
        <v>Dienstbezirk     Ludwigsburg *)</v>
      </c>
    </row>
    <row r="16" spans="1:14" ht="15" customHeight="1">
      <c r="A16" s="434" t="str">
        <f>'2011'!B19</f>
        <v>Sozialversicherungspflichtigte Beschäftigte</v>
      </c>
      <c r="B16" s="422"/>
      <c r="C16" s="423" t="str">
        <f>'2010'!D19</f>
        <v>Personen</v>
      </c>
      <c r="D16" s="428">
        <f>IF(ISERROR(HLOOKUP($I$2,Daten2011,'2011'!A19,FALSE)),"",HLOOKUP($I$2,Daten2011,'2011'!A19,FALSE))</f>
        <v>403</v>
      </c>
      <c r="E16" s="429">
        <f>IF(ISERROR(D16/$D$10),"",D16/$D$10)</f>
        <v>2.1388387644623711E-3</v>
      </c>
      <c r="F16" s="428">
        <f>'2011'!CL19</f>
        <v>15339</v>
      </c>
      <c r="G16" s="430">
        <f>F16/$F$10</f>
        <v>1.4263689012709831E-3</v>
      </c>
      <c r="H16" s="24"/>
      <c r="I16" s="53">
        <f>ROWS($I$3:I16)</f>
        <v>14</v>
      </c>
      <c r="J16" s="57" t="str">
        <f>$M$4&amp;"     "&amp;'2011'!S$4</f>
        <v>Dienstbezirk     Nürtingen</v>
      </c>
    </row>
    <row r="17" spans="1:14" ht="15" customHeight="1">
      <c r="A17" s="421" t="str">
        <f>'2011'!B20</f>
        <v>Bruttowertschöpfung insgesamt</v>
      </c>
      <c r="B17" s="422">
        <f>'2011'!C20</f>
        <v>2009</v>
      </c>
      <c r="C17" s="423" t="str">
        <f>'2010'!D20</f>
        <v>Mrd. €</v>
      </c>
      <c r="D17" s="437">
        <f>IF(ISERROR(HLOOKUP($I$2,Daten2011,'2011'!A20,FALSE)),"",HLOOKUP($I$2,Daten2011,'2011'!A20,FALSE))</f>
        <v>5.4029999999999996</v>
      </c>
      <c r="E17" s="438">
        <f>IF(ISERROR(D17/$F$17),"",D17/$F$17)</f>
        <v>1.773085720474004E-2</v>
      </c>
      <c r="F17" s="437">
        <f>'2011'!CL20</f>
        <v>304.72300000000001</v>
      </c>
      <c r="G17" s="426">
        <v>1</v>
      </c>
      <c r="I17" s="53">
        <f>ROWS($I$3:I17)</f>
        <v>15</v>
      </c>
      <c r="J17" s="57" t="str">
        <f>$M$4&amp;"     "&amp;'2011'!T$4</f>
        <v>Dienstbezirk     Öhringen</v>
      </c>
    </row>
    <row r="18" spans="1:14" ht="15" customHeight="1" thickBot="1">
      <c r="A18" s="434" t="str">
        <f>'2011'!B21</f>
        <v>Anteil der Land- und Forstwirtschaft</v>
      </c>
      <c r="B18" s="422"/>
      <c r="C18" s="423" t="str">
        <f>'2010'!D21</f>
        <v>%</v>
      </c>
      <c r="D18" s="436">
        <f>IF(ISERROR(HLOOKUP($I$2,Daten2011,'2011'!A21,FALSE)),"",HLOOKUP($I$2,Daten2011,'2011'!A21,FALSE))</f>
        <v>1.5546918378678514</v>
      </c>
      <c r="E18" s="435"/>
      <c r="F18" s="436">
        <f>'2011'!CL21</f>
        <v>0.65666195200231015</v>
      </c>
      <c r="G18" s="433"/>
      <c r="I18" s="53">
        <f>ROWS($I$3:I18)</f>
        <v>16</v>
      </c>
      <c r="J18" s="57" t="str">
        <f>$M$4&amp;"     "&amp;'2011'!U$4</f>
        <v>Dienstbezirk     Ilshofen</v>
      </c>
      <c r="N18" s="17"/>
    </row>
    <row r="19" spans="1:14" s="17" customFormat="1" ht="18.75" customHeight="1">
      <c r="A19" s="10" t="s">
        <v>70</v>
      </c>
      <c r="B19" s="11"/>
      <c r="C19" s="12"/>
      <c r="D19" s="382"/>
      <c r="E19" s="14" t="s">
        <v>17</v>
      </c>
      <c r="F19" s="15"/>
      <c r="G19" s="16" t="s">
        <v>17</v>
      </c>
      <c r="H19" s="7"/>
      <c r="I19" s="53">
        <f>ROWS($I$3:I19)</f>
        <v>17</v>
      </c>
      <c r="J19" s="57" t="str">
        <f>$M$4&amp;"     "&amp;'2011'!V$4</f>
        <v>Dienstbezirk     Rastatt *)</v>
      </c>
    </row>
    <row r="20" spans="1:14" ht="15" customHeight="1">
      <c r="A20" s="18" t="str">
        <f>'2010'!B23</f>
        <v>Landwirtschaftl. Betriebe insgesamt</v>
      </c>
      <c r="B20" s="19">
        <f>'2011'!C22</f>
        <v>2010</v>
      </c>
      <c r="C20" s="20" t="str">
        <f>'2010'!D23</f>
        <v>Anzahl</v>
      </c>
      <c r="D20" s="21">
        <f>IF(ISERROR(HLOOKUP($I$2,Daten2011,'2011'!A23,FALSE)),"",HLOOKUP($I$2,Daten2011,'2011'!A23,FALSE))</f>
        <v>2031</v>
      </c>
      <c r="E20" s="22">
        <f t="shared" ref="E20:E26" si="2">IF(ISERROR(D20/$D$20),"",D20/$D$20)</f>
        <v>1</v>
      </c>
      <c r="F20" s="383">
        <f>'2011'!CL23</f>
        <v>44512</v>
      </c>
      <c r="G20" s="23">
        <f t="shared" ref="G20:G26" si="3">F20/$F$20</f>
        <v>1</v>
      </c>
      <c r="I20" s="53">
        <f>ROWS($I$3:I20)</f>
        <v>18</v>
      </c>
      <c r="J20" s="57" t="str">
        <f>$M$4&amp;"     "&amp;'2011'!W$4</f>
        <v>Dienstbezirk     Horb</v>
      </c>
    </row>
    <row r="21" spans="1:14" ht="15" customHeight="1">
      <c r="A21" s="109" t="str">
        <f>'2010'!B24</f>
        <v>davon in Betrieben unter 5 ha</v>
      </c>
      <c r="B21" s="19"/>
      <c r="C21" s="20" t="str">
        <f>'2010'!D24</f>
        <v>Anzahl</v>
      </c>
      <c r="D21" s="51">
        <f>IF(ISERROR(HLOOKUP($I$2,Daten2011,'2011'!A24,FALSE)),"",HLOOKUP($I$2,Daten2011,'2011'!A24,FALSE))</f>
        <v>63</v>
      </c>
      <c r="E21" s="25">
        <f t="shared" si="2"/>
        <v>3.10192023633678E-2</v>
      </c>
      <c r="F21" s="52">
        <f>'2011'!CL24</f>
        <v>8097</v>
      </c>
      <c r="G21" s="26">
        <f t="shared" si="3"/>
        <v>0.18190600287562905</v>
      </c>
      <c r="I21" s="53">
        <f>ROWS($I$3:I21)</f>
        <v>19</v>
      </c>
      <c r="J21" s="57" t="str">
        <f>$M$4&amp;"     "&amp;'2011'!X$4</f>
        <v>Dienstbezirk     Karlsruhe *)</v>
      </c>
    </row>
    <row r="22" spans="1:14" ht="15" customHeight="1">
      <c r="A22" s="294" t="str">
        <f>'2010'!B25</f>
        <v>5 bis unter 10 ha</v>
      </c>
      <c r="B22" s="19"/>
      <c r="C22" s="20" t="str">
        <f>'2010'!D25</f>
        <v>Anzahl</v>
      </c>
      <c r="D22" s="51">
        <f>IF(ISERROR(HLOOKUP($I$2,Daten2011,'2011'!A25,FALSE)),"",HLOOKUP($I$2,Daten2011,'2011'!A25,FALSE))</f>
        <v>300</v>
      </c>
      <c r="E22" s="25">
        <f t="shared" si="2"/>
        <v>0.14771048744460857</v>
      </c>
      <c r="F22" s="52">
        <f>'2011'!CL25</f>
        <v>7693</v>
      </c>
      <c r="G22" s="26">
        <f t="shared" si="3"/>
        <v>0.17282979870596693</v>
      </c>
      <c r="I22" s="53">
        <f>ROWS($I$3:I22)</f>
        <v>20</v>
      </c>
      <c r="J22" s="57" t="str">
        <f>$M$4&amp;"     "&amp;'2011'!Y$4</f>
        <v>Dienstbezirk     Sinsheim *)</v>
      </c>
    </row>
    <row r="23" spans="1:14" ht="15" customHeight="1">
      <c r="A23" s="294" t="str">
        <f>'2010'!B26</f>
        <v>10 bis unter 20 ha</v>
      </c>
      <c r="B23" s="19"/>
      <c r="C23" s="20" t="str">
        <f>'2010'!D26</f>
        <v>Anzahl</v>
      </c>
      <c r="D23" s="51">
        <f>IF(ISERROR(HLOOKUP($I$2,Daten2011,'2011'!A26,FALSE)),"",HLOOKUP($I$2,Daten2011,'2011'!A26,FALSE))</f>
        <v>450</v>
      </c>
      <c r="E23" s="25">
        <f t="shared" si="2"/>
        <v>0.22156573116691286</v>
      </c>
      <c r="F23" s="52">
        <f>'2011'!CL26</f>
        <v>9259</v>
      </c>
      <c r="G23" s="26">
        <f t="shared" si="3"/>
        <v>0.20801132278936016</v>
      </c>
      <c r="I23" s="53">
        <f>ROWS($I$3:I23)</f>
        <v>21</v>
      </c>
      <c r="J23" s="57" t="str">
        <f>$M$4&amp;"     "&amp;'2011'!Z$4</f>
        <v>Dienstbezirk     Buchen</v>
      </c>
    </row>
    <row r="24" spans="1:14" ht="15" customHeight="1">
      <c r="A24" s="294" t="str">
        <f>'2010'!B27</f>
        <v>20 bis unter 50 ha</v>
      </c>
      <c r="B24" s="19"/>
      <c r="C24" s="20" t="str">
        <f>'2010'!D27</f>
        <v>Anzahl</v>
      </c>
      <c r="D24" s="51">
        <f>IF(ISERROR(HLOOKUP($I$2,Daten2011,'2011'!A27,FALSE)),"",HLOOKUP($I$2,Daten2011,'2011'!A27,FALSE))</f>
        <v>656</v>
      </c>
      <c r="E24" s="25">
        <f t="shared" si="2"/>
        <v>0.32299359921221071</v>
      </c>
      <c r="F24" s="52">
        <f>'2011'!CL27</f>
        <v>10353</v>
      </c>
      <c r="G24" s="26">
        <f t="shared" si="3"/>
        <v>0.23258896477354421</v>
      </c>
      <c r="I24" s="53">
        <f>ROWS($I$3:I24)</f>
        <v>22</v>
      </c>
      <c r="J24" s="57" t="str">
        <f>$M$4&amp;"     "&amp;'2011'!AA$4</f>
        <v>Dienstbezirk     Pforzheim *)</v>
      </c>
    </row>
    <row r="25" spans="1:14" ht="15" customHeight="1">
      <c r="A25" s="294" t="str">
        <f>'2010'!B28</f>
        <v>50 bis unter 100 ha</v>
      </c>
      <c r="B25" s="19"/>
      <c r="C25" s="20" t="str">
        <f>'2010'!D28</f>
        <v>Anzahl</v>
      </c>
      <c r="D25" s="51">
        <f>IF(ISERROR(HLOOKUP($I$2,Daten2011,'2011'!A28,FALSE)),"",HLOOKUP($I$2,Daten2011,'2011'!A28,FALSE))</f>
        <v>457</v>
      </c>
      <c r="E25" s="25">
        <f t="shared" si="2"/>
        <v>0.22501230920728704</v>
      </c>
      <c r="F25" s="52">
        <f>'2011'!CL28</f>
        <v>6327</v>
      </c>
      <c r="G25" s="26">
        <f t="shared" si="3"/>
        <v>0.14214144500359455</v>
      </c>
      <c r="I25" s="53">
        <f>ROWS($I$3:I25)</f>
        <v>23</v>
      </c>
      <c r="J25" s="57" t="str">
        <f>$M$4&amp;"     "&amp;'2011'!AB$4</f>
        <v>Dienstbezirk     Calw</v>
      </c>
    </row>
    <row r="26" spans="1:14" ht="15" customHeight="1">
      <c r="A26" s="294" t="str">
        <f>'2010'!B29</f>
        <v>100 und mehr ha LF</v>
      </c>
      <c r="B26" s="19"/>
      <c r="C26" s="20" t="str">
        <f>'2010'!D29</f>
        <v>Anzahl</v>
      </c>
      <c r="D26" s="51">
        <f>IF(ISERROR(HLOOKUP($I$2,Daten2011,'2011'!A29,FALSE)),"",HLOOKUP($I$2,Daten2011,'2011'!A29,FALSE))</f>
        <v>105</v>
      </c>
      <c r="E26" s="25">
        <f t="shared" si="2"/>
        <v>5.1698670605612999E-2</v>
      </c>
      <c r="F26" s="52">
        <f>'2011'!CL29</f>
        <v>2783</v>
      </c>
      <c r="G26" s="26">
        <f t="shared" si="3"/>
        <v>6.2522465851905101E-2</v>
      </c>
      <c r="I26" s="53">
        <f>ROWS($I$3:I26)</f>
        <v>24</v>
      </c>
      <c r="J26" s="57" t="str">
        <f>$M$4&amp;"     "&amp;'2011'!AC$4</f>
        <v>Dienstbezirk     Donaueschingen</v>
      </c>
    </row>
    <row r="27" spans="1:14" ht="15" customHeight="1">
      <c r="A27" s="421" t="str">
        <f>'2010'!B30</f>
        <v>Ø Betriebsgröße (alle Betriebe)</v>
      </c>
      <c r="B27" s="422"/>
      <c r="C27" s="423" t="str">
        <f>'2010'!D30</f>
        <v>ha</v>
      </c>
      <c r="D27" s="439">
        <f>IF(ISERROR(HLOOKUP($I$2,Daten2011,'2011'!A30,FALSE)),"",HLOOKUP($I$2,Daten2011,'2011'!A30,FALSE))</f>
        <v>37.588872476612508</v>
      </c>
      <c r="E27" s="432"/>
      <c r="F27" s="440">
        <f>'2011'!CL30</f>
        <v>31.67658159597412</v>
      </c>
      <c r="G27" s="433"/>
      <c r="I27" s="53">
        <f>ROWS($I$3:I27)</f>
        <v>25</v>
      </c>
      <c r="J27" s="57" t="str">
        <f>$M$4&amp;"     "&amp;'2011'!AD$4</f>
        <v>Dienstbezirk     Emmendingen</v>
      </c>
    </row>
    <row r="28" spans="1:14" ht="15" customHeight="1">
      <c r="A28" s="139" t="str">
        <f>'2010'!B31</f>
        <v>Entwicklung Betriebe ab 5 ha LF von 2001 / 2010</v>
      </c>
      <c r="B28" s="31"/>
      <c r="C28" s="32" t="str">
        <f>'2010'!D31</f>
        <v>%</v>
      </c>
      <c r="D28" s="384">
        <f>IF(ISERROR(HLOOKUP($I$2,Daten2011,'2011'!A31,FALSE)),"",HLOOKUP($I$2,Daten2011,'2011'!A31,FALSE))</f>
        <v>-21.78060413354531</v>
      </c>
      <c r="E28" s="27"/>
      <c r="F28" s="384">
        <f>'2011'!CL31</f>
        <v>-20.697314836995574</v>
      </c>
      <c r="G28" s="28"/>
      <c r="I28" s="53">
        <f>ROWS($I$3:I28)</f>
        <v>26</v>
      </c>
      <c r="J28" s="57" t="str">
        <f>$M$4&amp;"     "&amp;'2011'!AE$4</f>
        <v>Dienstbezirk     Breisach *)</v>
      </c>
    </row>
    <row r="29" spans="1:14" ht="15" customHeight="1">
      <c r="A29" s="441" t="str">
        <f>'2010'!B32</f>
        <v>Betriebsinhaber im Haupterwerb</v>
      </c>
      <c r="B29" s="442"/>
      <c r="C29" s="443" t="str">
        <f>'2010'!D32</f>
        <v>%</v>
      </c>
      <c r="D29" s="444">
        <f>IF(ISERROR(HLOOKUP($I$2,Daten2011,'2011'!A32,FALSE)),"",HLOOKUP($I$2,Daten2011,'2011'!A32,FALSE))</f>
        <v>47</v>
      </c>
      <c r="E29" s="432"/>
      <c r="F29" s="424">
        <f>'2011'!CL32</f>
        <v>36</v>
      </c>
      <c r="G29" s="433"/>
      <c r="I29" s="53">
        <f>ROWS($I$3:I29)</f>
        <v>27</v>
      </c>
      <c r="J29" s="57" t="str">
        <f>$M$4&amp;"     "&amp;'2011'!AF$4</f>
        <v>Dienstbezirk     Lörrach</v>
      </c>
    </row>
    <row r="30" spans="1:14" ht="15" customHeight="1" thickBot="1">
      <c r="A30" s="445" t="str">
        <f>'2010'!B33</f>
        <v>im Nebenerwerb</v>
      </c>
      <c r="B30" s="446"/>
      <c r="C30" s="447" t="str">
        <f>'2010'!D33</f>
        <v>%</v>
      </c>
      <c r="D30" s="448">
        <f>IF(ISERROR(HLOOKUP($I$2,Daten2011,'2011'!A33,FALSE)),"",HLOOKUP($I$2,Daten2011,'2011'!A33,FALSE))</f>
        <v>53</v>
      </c>
      <c r="E30" s="449"/>
      <c r="F30" s="450">
        <f>'2011'!CL33</f>
        <v>64</v>
      </c>
      <c r="G30" s="451"/>
      <c r="I30" s="53">
        <f>ROWS($I$3:I30)</f>
        <v>28</v>
      </c>
      <c r="J30" s="57" t="str">
        <f>$M$4&amp;"     "&amp;'2011'!AG$4</f>
        <v>Dienstbezirk     Offenburg</v>
      </c>
    </row>
    <row r="31" spans="1:14" ht="18.75" customHeight="1">
      <c r="A31" s="10" t="s">
        <v>73</v>
      </c>
      <c r="B31" s="11"/>
      <c r="C31" s="37"/>
      <c r="D31" s="382"/>
      <c r="E31" s="14" t="s">
        <v>17</v>
      </c>
      <c r="F31" s="15"/>
      <c r="G31" s="16" t="s">
        <v>17</v>
      </c>
      <c r="I31" s="53">
        <f>ROWS($I$3:I31)</f>
        <v>29</v>
      </c>
      <c r="J31" s="57" t="str">
        <f>$M$4&amp;"     "&amp;'2011'!AH$4</f>
        <v>Dienstbezirk     Stockach</v>
      </c>
    </row>
    <row r="32" spans="1:14" ht="15" customHeight="1">
      <c r="A32" s="452" t="str">
        <f>'2010'!B35</f>
        <v xml:space="preserve">Landwirtschaftlich gen. Fläche (LF)   </v>
      </c>
      <c r="B32" s="453">
        <f>'2011'!C34</f>
        <v>2010</v>
      </c>
      <c r="C32" s="454" t="str">
        <f>'2010'!D35</f>
        <v>ha</v>
      </c>
      <c r="D32" s="424">
        <f>IF(ISERROR(HLOOKUP($I$2,Daten2011,'2011'!A35,FALSE)),"",HLOOKUP($I$2,Daten2011,'2011'!A35,FALSE))</f>
        <v>76343</v>
      </c>
      <c r="E32" s="425">
        <f>IF(ISERROR(D32/$D$32),"",D32/$D$32)</f>
        <v>1</v>
      </c>
      <c r="F32" s="424">
        <f>'2011'!CL35</f>
        <v>1409988</v>
      </c>
      <c r="G32" s="426">
        <f>F32/$F$32</f>
        <v>1</v>
      </c>
      <c r="I32" s="53">
        <f>ROWS($I$3:I32)</f>
        <v>30</v>
      </c>
      <c r="J32" s="57" t="str">
        <f>$M$4&amp;"     "&amp;'2011'!AI$4</f>
        <v>Dienstbezirk     Rottweil</v>
      </c>
    </row>
    <row r="33" spans="1:10" ht="15" customHeight="1">
      <c r="A33" s="455" t="str">
        <f>'2010'!B36</f>
        <v>davon Ackerland</v>
      </c>
      <c r="B33" s="453"/>
      <c r="C33" s="454" t="str">
        <f>'2010'!D36</f>
        <v>ha</v>
      </c>
      <c r="D33" s="428">
        <f>IF(ISERROR(HLOOKUP($I$2,Daten2011,'2011'!A36,FALSE)),"",HLOOKUP($I$2,Daten2011,'2011'!A36,FALSE))</f>
        <v>50614</v>
      </c>
      <c r="E33" s="429">
        <f>IF(ISERROR(D33/$D$32),"",D33/$D$32)</f>
        <v>0.66298154382196139</v>
      </c>
      <c r="F33" s="428">
        <f>'2011'!CL36</f>
        <v>829272</v>
      </c>
      <c r="G33" s="430">
        <f>F33/$F$32</f>
        <v>0.58814117566958013</v>
      </c>
      <c r="I33" s="53">
        <f>ROWS($I$3:I33)</f>
        <v>31</v>
      </c>
      <c r="J33" s="57" t="str">
        <f>$M$4&amp;"     "&amp;'2011'!AJ$4</f>
        <v>Dienstbezirk     Tuttlingen</v>
      </c>
    </row>
    <row r="34" spans="1:10" ht="15" customHeight="1">
      <c r="A34" s="456" t="str">
        <f>'2010'!B37</f>
        <v>Dauergrünland</v>
      </c>
      <c r="B34" s="453"/>
      <c r="C34" s="454" t="str">
        <f>'2010'!D37</f>
        <v>ha</v>
      </c>
      <c r="D34" s="428">
        <f>IF(ISERROR(HLOOKUP($I$2,Daten2011,'2011'!A37,FALSE)),"",HLOOKUP($I$2,Daten2011,'2011'!A37,FALSE))</f>
        <v>25496</v>
      </c>
      <c r="E34" s="429">
        <f>IF(ISERROR(D34/$D$32),"",D34/$D$32)</f>
        <v>0.33396644093106115</v>
      </c>
      <c r="F34" s="428">
        <f>'2011'!CL37</f>
        <v>531692</v>
      </c>
      <c r="G34" s="430">
        <f>F34/$F$32</f>
        <v>0.37708973409702778</v>
      </c>
      <c r="I34" s="53">
        <f>ROWS($I$3:I34)</f>
        <v>32</v>
      </c>
      <c r="J34" s="57" t="str">
        <f>$M$4&amp;"     "&amp;'2011'!AK$4</f>
        <v>Dienstbezirk     Waldshut</v>
      </c>
    </row>
    <row r="35" spans="1:10" ht="15" customHeight="1">
      <c r="A35" s="456" t="str">
        <f>'2010'!B38</f>
        <v>Baum- und Beerenobst</v>
      </c>
      <c r="B35" s="453"/>
      <c r="C35" s="454" t="str">
        <f>'2010'!D38</f>
        <v>ha</v>
      </c>
      <c r="D35" s="428">
        <f>IF(ISERROR(HLOOKUP($I$2,Daten2011,'2011'!A38,FALSE)),"",HLOOKUP($I$2,Daten2011,'2011'!A38,FALSE))</f>
        <v>159</v>
      </c>
      <c r="E35" s="429">
        <f>IF(ISERROR(D35/D32),"",D35/D32)</f>
        <v>2.0827056835597238E-3</v>
      </c>
      <c r="F35" s="428">
        <f>'2011'!CL38</f>
        <v>21067</v>
      </c>
      <c r="G35" s="430">
        <f>F35/$F$32</f>
        <v>1.4941261911448891E-2</v>
      </c>
      <c r="I35" s="53">
        <f>ROWS($I$3:I35)</f>
        <v>33</v>
      </c>
      <c r="J35" s="57" t="str">
        <f>$M$4&amp;"     "&amp;'2011'!AL$4</f>
        <v>Dienstbezirk     Balingen</v>
      </c>
    </row>
    <row r="36" spans="1:10" ht="15" customHeight="1" thickBot="1">
      <c r="A36" s="456" t="str">
        <f>'2010'!B39</f>
        <v>Rebflächen</v>
      </c>
      <c r="B36" s="453"/>
      <c r="C36" s="454" t="str">
        <f>'2010'!D39</f>
        <v>ha</v>
      </c>
      <c r="D36" s="457" t="str">
        <f>IF(ISERROR(HLOOKUP($I$2,Daten2011,'2011'!A39,FALSE)),"",HLOOKUP($I$2,Daten2011,'2011'!A39,FALSE))</f>
        <v>*</v>
      </c>
      <c r="E36" s="429" t="str">
        <f>IF(ISERROR(D36/$D$32),"",D36/$D$32)</f>
        <v/>
      </c>
      <c r="F36" s="428">
        <f>'2011'!CL39</f>
        <v>23682</v>
      </c>
      <c r="G36" s="430">
        <f>F36/$F$32</f>
        <v>1.6795887624575529E-2</v>
      </c>
      <c r="I36" s="53">
        <f>ROWS($I$3:I36)</f>
        <v>34</v>
      </c>
      <c r="J36" s="57" t="str">
        <f>$M$4&amp;"     "&amp;'2011'!AM$4</f>
        <v>Dienstbezirk     Biberach</v>
      </c>
    </row>
    <row r="37" spans="1:10" ht="18.75" customHeight="1">
      <c r="A37" s="10" t="s">
        <v>77</v>
      </c>
      <c r="B37" s="11"/>
      <c r="C37" s="37"/>
      <c r="D37" s="382"/>
      <c r="E37" s="14" t="s">
        <v>17</v>
      </c>
      <c r="F37" s="15"/>
      <c r="G37" s="16" t="s">
        <v>17</v>
      </c>
      <c r="I37" s="53">
        <f>ROWS($I$3:I37)</f>
        <v>35</v>
      </c>
      <c r="J37" s="57" t="str">
        <f>$M$4&amp;"     "&amp;'2011'!AN$4</f>
        <v>Dienstbezirk     Ravensburg</v>
      </c>
    </row>
    <row r="38" spans="1:10" ht="15" customHeight="1">
      <c r="A38" s="33" t="str">
        <f>'2010'!B41</f>
        <v xml:space="preserve">Rinder    </v>
      </c>
      <c r="B38" s="34">
        <f>'2011'!C41</f>
        <v>2010</v>
      </c>
      <c r="C38" s="32" t="str">
        <f>'2010'!D41</f>
        <v>Tiere</v>
      </c>
      <c r="D38" s="21">
        <f>IF(ISERROR(HLOOKUP($I$2,Daten2011,'2011'!A41,FALSE)),"",HLOOKUP($I$2,Daten2011,'2011'!A41,FALSE))</f>
        <v>66666</v>
      </c>
      <c r="E38" s="22">
        <f>IF(ISERROR(D38/$D$38),"",D38/$D$38)</f>
        <v>1</v>
      </c>
      <c r="F38" s="383">
        <f>'2011'!CL41</f>
        <v>1014986</v>
      </c>
      <c r="G38" s="23">
        <f>F38/$F$38</f>
        <v>1</v>
      </c>
      <c r="I38" s="53">
        <f>ROWS($I$3:I38)</f>
        <v>36</v>
      </c>
      <c r="J38" s="57" t="str">
        <f>$M$4&amp;"     "&amp;'2011'!AO$4</f>
        <v>Dienstbezirk     Münsingen</v>
      </c>
    </row>
    <row r="39" spans="1:10" ht="15" customHeight="1">
      <c r="A39" s="112" t="str">
        <f>'2010'!B42</f>
        <v>darunter Milchkühe</v>
      </c>
      <c r="B39" s="34"/>
      <c r="C39" s="32" t="str">
        <f>'2010'!D42</f>
        <v>Tiere</v>
      </c>
      <c r="D39" s="51">
        <f>IF(ISERROR(HLOOKUP($I$2,Daten2011,'2011'!A42,FALSE)),"",HLOOKUP($I$2,Daten2011,'2011'!A42,FALSE))</f>
        <v>21941</v>
      </c>
      <c r="E39" s="25">
        <f>IF(ISERROR(D39/$D$38),"",D39/$D$38)</f>
        <v>0.3291182911829118</v>
      </c>
      <c r="F39" s="52">
        <f>'2011'!CL42</f>
        <v>353715</v>
      </c>
      <c r="G39" s="26">
        <f>F39/$F$38</f>
        <v>0.34849249152205053</v>
      </c>
      <c r="I39" s="53">
        <f>ROWS($I$3:I39)</f>
        <v>37</v>
      </c>
      <c r="J39" s="57" t="str">
        <f>$M$4&amp;"     "&amp;'2011'!AP$4</f>
        <v>Dienstbezirk     Tübingen</v>
      </c>
    </row>
    <row r="40" spans="1:10" ht="15" customHeight="1">
      <c r="A40" s="112" t="str">
        <f>'2010'!B43</f>
        <v>darunter andere Kühe (Mutterkühe)</v>
      </c>
      <c r="B40" s="34"/>
      <c r="C40" s="32" t="str">
        <f>'2010'!D43</f>
        <v>Tiere</v>
      </c>
      <c r="D40" s="51">
        <f>IF(ISERROR(HLOOKUP($I$2,Daten2011,'2011'!A43,FALSE)),"",HLOOKUP($I$2,Daten2011,'2011'!A43,FALSE))</f>
        <v>3189</v>
      </c>
      <c r="E40" s="25">
        <f>IF(ISERROR(D40/$D$38),"",D40/$D$38)</f>
        <v>4.783547835478355E-2</v>
      </c>
      <c r="F40" s="52">
        <f>'2011'!CL43</f>
        <v>57058</v>
      </c>
      <c r="G40" s="26">
        <f>F40/$F$38</f>
        <v>5.6215553712070904E-2</v>
      </c>
      <c r="I40" s="53">
        <f>ROWS($I$3:I40)</f>
        <v>38</v>
      </c>
      <c r="J40" s="57" t="str">
        <f>$M$4&amp;"     "&amp;'2011'!AQ$4</f>
        <v>Dienstbezirk     Sigmaringen</v>
      </c>
    </row>
    <row r="41" spans="1:10" ht="15" customHeight="1">
      <c r="A41" s="112" t="str">
        <f>'2010'!B44</f>
        <v>Durchschnittsbestand Milchkühe</v>
      </c>
      <c r="B41" s="34"/>
      <c r="C41" s="32" t="str">
        <f>'2010'!D44</f>
        <v>Tiere/Halter</v>
      </c>
      <c r="D41" s="384">
        <f>IF(ISERROR(HLOOKUP($I$2,Daten2011,'2011'!A44,FALSE)),"",HLOOKUP($I$2,Daten2011,'2011'!A44,FALSE))</f>
        <v>31.660894660894662</v>
      </c>
      <c r="E41" s="29"/>
      <c r="F41" s="385">
        <f>'2011'!CL44</f>
        <v>32.83956921362919</v>
      </c>
      <c r="G41" s="28"/>
      <c r="I41" s="53">
        <f>ROWS($I$3:I41)</f>
        <v>39</v>
      </c>
      <c r="J41" s="57" t="str">
        <f>$M$4&amp;"     "&amp;'2011'!AR$4</f>
        <v>Dienstbezirk     Friedrichshafen</v>
      </c>
    </row>
    <row r="42" spans="1:10" ht="15" customHeight="1">
      <c r="A42" s="33" t="str">
        <f>'2010'!B45</f>
        <v>Schweine</v>
      </c>
      <c r="B42" s="34">
        <f>'2011'!C45</f>
        <v>2010</v>
      </c>
      <c r="C42" s="32" t="str">
        <f>'2010'!D45</f>
        <v>Tiere</v>
      </c>
      <c r="D42" s="21">
        <f>IF(ISERROR(HLOOKUP($I$2,Daten2011,'2011'!A45,FALSE)),"",HLOOKUP($I$2,Daten2011,'2011'!A45,FALSE))</f>
        <v>475187</v>
      </c>
      <c r="E42" s="386">
        <f>IF(ISERROR(D42/$D$42),"",D42/$D$42)</f>
        <v>1</v>
      </c>
      <c r="F42" s="383">
        <f>'2011'!CL45</f>
        <v>2132799</v>
      </c>
      <c r="G42" s="23">
        <f>F42/$F$42</f>
        <v>1</v>
      </c>
      <c r="I42" s="54">
        <f>ROWS($I$3:I42)</f>
        <v>40</v>
      </c>
      <c r="J42" s="58" t="str">
        <f>$M$4&amp;"     "&amp;'2011'!AS$4</f>
        <v>Dienstbezirk     Ulm *)</v>
      </c>
    </row>
    <row r="43" spans="1:10" ht="15" customHeight="1">
      <c r="A43" s="112" t="str">
        <f>'2010'!B46</f>
        <v>darunter Zuchtsauen</v>
      </c>
      <c r="B43" s="34"/>
      <c r="C43" s="32" t="str">
        <f>'2010'!D46</f>
        <v>Tiere</v>
      </c>
      <c r="D43" s="51">
        <f>IF(ISERROR(HLOOKUP($I$2,Daten2011,'2011'!A46,FALSE)),"",HLOOKUP($I$2,Daten2011,'2011'!A46,FALSE))</f>
        <v>58271</v>
      </c>
      <c r="E43" s="387">
        <f>IF(ISERROR(D43/$D$42),"",D43/$D$42)</f>
        <v>0.12262751295805652</v>
      </c>
      <c r="F43" s="52">
        <f>'2011'!CL46</f>
        <v>231894</v>
      </c>
      <c r="G43" s="26">
        <f>F43/$F$42</f>
        <v>0.10872754535237497</v>
      </c>
      <c r="I43" s="87">
        <f>ROWS($I$3:I43)</f>
        <v>41</v>
      </c>
      <c r="J43" s="57" t="str">
        <f>$M$5&amp;"            "&amp;'2011'!AT$4</f>
        <v>Kreis            Stuttgart (S)</v>
      </c>
    </row>
    <row r="44" spans="1:10" ht="15" customHeight="1">
      <c r="A44" s="112" t="str">
        <f>'2010'!B47</f>
        <v>Durchschnittsbestand Andere Schweine</v>
      </c>
      <c r="B44" s="34"/>
      <c r="C44" s="32" t="str">
        <f>'2010'!D47</f>
        <v>Tiere/Halter</v>
      </c>
      <c r="D44" s="385">
        <f>IF(ISERROR(HLOOKUP($I$2,Daten2011,'2011'!A47,FALSE)),"",HLOOKUP($I$2,Daten2011,'2011'!A47,FALSE))</f>
        <v>227.08178844056707</v>
      </c>
      <c r="E44" s="29"/>
      <c r="F44" s="52">
        <f>'2011'!CL47</f>
        <v>135.51442127606444</v>
      </c>
      <c r="G44" s="28"/>
      <c r="I44" s="53">
        <f>ROWS($I$3:I44)</f>
        <v>42</v>
      </c>
      <c r="J44" s="57" t="str">
        <f>$M$5&amp;"            "&amp;'2011'!AU$4</f>
        <v>Kreis            Böblingen (L)</v>
      </c>
    </row>
    <row r="45" spans="1:10" ht="15" customHeight="1">
      <c r="A45" s="33" t="str">
        <f>'2010'!B48</f>
        <v>Einhufer (Pferde)</v>
      </c>
      <c r="B45" s="34">
        <f>'2011'!C48</f>
        <v>2010</v>
      </c>
      <c r="C45" s="32" t="str">
        <f>'2010'!D48</f>
        <v>Tiere</v>
      </c>
      <c r="D45" s="21">
        <f>IF(ISERROR(HLOOKUP($I$2,Daten2011,'2011'!A48,FALSE)),"",HLOOKUP($I$2,Daten2011,'2011'!A48,FALSE))</f>
        <v>1449</v>
      </c>
      <c r="E45" s="27"/>
      <c r="F45" s="383">
        <f>'2011'!CL48</f>
        <v>59741</v>
      </c>
      <c r="G45" s="28"/>
      <c r="I45" s="53">
        <f>ROWS($I$3:I45)</f>
        <v>43</v>
      </c>
      <c r="J45" s="57" t="str">
        <f>$M$5&amp;"            "&amp;'2011'!AV$4</f>
        <v>Kreis            Esslingen (L)</v>
      </c>
    </row>
    <row r="46" spans="1:10" ht="15" customHeight="1">
      <c r="A46" s="33" t="str">
        <f>'2010'!B49</f>
        <v>Schafe</v>
      </c>
      <c r="B46" s="34">
        <f>'2011'!C49</f>
        <v>2010</v>
      </c>
      <c r="C46" s="32" t="str">
        <f>'2010'!D49</f>
        <v>Tiere</v>
      </c>
      <c r="D46" s="21">
        <f>IF(ISERROR(HLOOKUP($I$2,Daten2011,'2011'!A49,FALSE)),"",HLOOKUP($I$2,Daten2011,'2011'!A49,FALSE))</f>
        <v>11329</v>
      </c>
      <c r="E46" s="27"/>
      <c r="F46" s="383">
        <f>'2011'!CL49</f>
        <v>274311</v>
      </c>
      <c r="G46" s="28"/>
      <c r="I46" s="53">
        <f>ROWS($I$3:I46)</f>
        <v>44</v>
      </c>
      <c r="J46" s="57" t="str">
        <f>$M$5&amp;"            "&amp;'2011'!AW$4</f>
        <v>Kreis            Göppingen (L)</v>
      </c>
    </row>
    <row r="47" spans="1:10" ht="15" customHeight="1">
      <c r="A47" s="33" t="str">
        <f>'2010'!B50</f>
        <v>Großvieheinheiten</v>
      </c>
      <c r="B47" s="34">
        <f>'2011'!C50</f>
        <v>2010</v>
      </c>
      <c r="C47" s="32" t="str">
        <f>'2010'!D50</f>
        <v>GV/100 ha LF</v>
      </c>
      <c r="D47" s="82">
        <f>IF(ISERROR(HLOOKUP($I$2,Daten2011,'2011'!A50,FALSE)),"",HLOOKUP($I$2,Daten2011,'2011'!A50,FALSE))</f>
        <v>130</v>
      </c>
      <c r="E47" s="27"/>
      <c r="F47" s="82">
        <f>'2011'!CL50</f>
        <v>76</v>
      </c>
      <c r="G47" s="28"/>
      <c r="I47" s="53">
        <f>ROWS($I$3:I47)</f>
        <v>45</v>
      </c>
      <c r="J47" s="57" t="str">
        <f>$M$5&amp;"            "&amp;'2011'!AX$4</f>
        <v>Kreis            Ludwigsburg (L)</v>
      </c>
    </row>
    <row r="48" spans="1:10" ht="15" customHeight="1">
      <c r="A48" s="458" t="str">
        <f>'2010'!B51</f>
        <v>Milchleistung</v>
      </c>
      <c r="B48" s="442">
        <f>'2011'!C51</f>
        <v>2010</v>
      </c>
      <c r="C48" s="443" t="str">
        <f>'2010'!D51</f>
        <v>kg/Jahr</v>
      </c>
      <c r="D48" s="457">
        <f>IF(ISERROR(HLOOKUP($I$2,Daten2011,'2011'!A51,FALSE)),"",HLOOKUP($I$2,Daten2011,'2011'!A51,FALSE))</f>
        <v>6157</v>
      </c>
      <c r="E48" s="435"/>
      <c r="F48" s="459">
        <f>'2011'!CL51</f>
        <v>6311</v>
      </c>
      <c r="G48" s="433"/>
      <c r="H48" s="24"/>
      <c r="I48" s="53">
        <f>ROWS($I$3:I48)</f>
        <v>46</v>
      </c>
      <c r="J48" s="57" t="str">
        <f>$M$5&amp;"            "&amp;'2011'!AY$4</f>
        <v>Kreis            Rems-Murr-Kreis</v>
      </c>
    </row>
    <row r="49" spans="1:10" ht="15" customHeight="1">
      <c r="A49" s="112" t="str">
        <f>'2010'!B52</f>
        <v>Milchanlieferung an die Molkereien</v>
      </c>
      <c r="B49" s="34"/>
      <c r="C49" s="32" t="str">
        <f>'2010'!D52</f>
        <v>t</v>
      </c>
      <c r="D49" s="113">
        <f>IF(ISERROR(HLOOKUP($I$2,Daten2011,'2011'!A52,FALSE)),"",HLOOKUP($I$2,Daten2011,'2011'!A52,FALSE))</f>
        <v>135140</v>
      </c>
      <c r="E49" s="29"/>
      <c r="F49" s="52">
        <f>'2011'!CL52</f>
        <v>2117936</v>
      </c>
      <c r="G49" s="28"/>
      <c r="H49" s="24"/>
      <c r="I49" s="53">
        <f>ROWS($I$3:I49)</f>
        <v>47</v>
      </c>
      <c r="J49" s="57" t="str">
        <f>$M$5&amp;"            "&amp;'2011'!AZ$4</f>
        <v>Kreis            Heilbronn (S)</v>
      </c>
    </row>
    <row r="50" spans="1:10" ht="15" customHeight="1">
      <c r="A50" s="112" t="str">
        <f>'2010'!B53</f>
        <v>Änderung der Milchanlieferung 2010 / 2001</v>
      </c>
      <c r="B50" s="34"/>
      <c r="C50" s="32" t="str">
        <f>'2010'!D53</f>
        <v>%</v>
      </c>
      <c r="D50" s="114">
        <f>IF(ISERROR(HLOOKUP($I$2,Daten2011,'2011'!A53,FALSE)),"",HLOOKUP($I$2,Daten2011,'2011'!A53,FALSE))</f>
        <v>-0.20013145165459234</v>
      </c>
      <c r="E50" s="29"/>
      <c r="F50" s="115">
        <f>'2011'!CL53</f>
        <v>0.53</v>
      </c>
      <c r="G50" s="28"/>
      <c r="H50" s="24"/>
      <c r="I50" s="53">
        <f>ROWS($I$3:I50)</f>
        <v>48</v>
      </c>
      <c r="J50" s="57" t="str">
        <f>$M$5&amp;"            "&amp;'2011'!BA$4</f>
        <v>Kreis            Heilbronn (L)</v>
      </c>
    </row>
    <row r="51" spans="1:10" ht="15" customHeight="1" thickBot="1">
      <c r="A51" s="460" t="str">
        <f>'2010'!B54</f>
        <v>Änderung Anzahl Milchkühe 2010 / 2001</v>
      </c>
      <c r="B51" s="461"/>
      <c r="C51" s="462" t="str">
        <f>'2010'!D54</f>
        <v>%</v>
      </c>
      <c r="D51" s="463">
        <f>IF(ISERROR(HLOOKUP($I$2,Daten2011,'2011'!A54,FALSE)),"",HLOOKUP($I$2,Daten2011,'2011'!A54,FALSE))</f>
        <v>-12.271000000000001</v>
      </c>
      <c r="E51" s="464"/>
      <c r="F51" s="465">
        <f>'2011'!CL54</f>
        <v>-16.161000000000001</v>
      </c>
      <c r="G51" s="466"/>
      <c r="H51" s="24"/>
      <c r="I51" s="53">
        <f>ROWS($I$3:I51)</f>
        <v>49</v>
      </c>
      <c r="J51" s="57" t="str">
        <f>$M$5&amp;"            "&amp;'2011'!BB$4</f>
        <v>Kreis            Hohenlohekreis</v>
      </c>
    </row>
    <row r="52" spans="1:10" ht="18.75" customHeight="1" thickTop="1">
      <c r="A52" s="40" t="s">
        <v>227</v>
      </c>
      <c r="B52" s="41"/>
      <c r="C52" s="42"/>
      <c r="D52" s="118"/>
      <c r="E52" s="43" t="s">
        <v>17</v>
      </c>
      <c r="F52" s="118"/>
      <c r="G52" s="44" t="s">
        <v>17</v>
      </c>
      <c r="I52" s="53">
        <f>ROWS($I$3:I52)</f>
        <v>50</v>
      </c>
      <c r="J52" s="57" t="str">
        <f>$M$5&amp;"            "&amp;'2011'!BC$4</f>
        <v>Kreis            Schwäbisch Hall</v>
      </c>
    </row>
    <row r="53" spans="1:10" ht="15" customHeight="1">
      <c r="A53" s="112" t="str">
        <f>'2010'!B56</f>
        <v xml:space="preserve"> Naturschutzgebiete</v>
      </c>
      <c r="B53" s="31">
        <f>'2011'!C56</f>
        <v>2011</v>
      </c>
      <c r="C53" s="32" t="str">
        <f>'2010'!D56</f>
        <v>Anzahl</v>
      </c>
      <c r="D53" s="119">
        <f>IF(ISERROR(HLOOKUP($I$2,Daten2011,'2011'!A56,FALSE)),"",HLOOKUP($I$2,Daten2011,'2011'!A56,FALSE))</f>
        <v>18</v>
      </c>
      <c r="E53" s="45"/>
      <c r="F53" s="119">
        <f>'2011'!CL56</f>
        <v>1136</v>
      </c>
      <c r="G53" s="46"/>
      <c r="I53" s="53">
        <f>ROWS($I$3:I53)</f>
        <v>51</v>
      </c>
      <c r="J53" s="57" t="str">
        <f>$M$5&amp;"            "&amp;'2011'!BD$4</f>
        <v>Kreis            Main-Tauber-Kreis</v>
      </c>
    </row>
    <row r="54" spans="1:10" ht="15" customHeight="1">
      <c r="A54" s="112"/>
      <c r="B54" s="34"/>
      <c r="C54" s="32" t="str">
        <f>'2010'!D57</f>
        <v>ha</v>
      </c>
      <c r="D54" s="119">
        <f>IF(ISERROR(HLOOKUP($I$2,Daten2011,'2011'!A57,FALSE)),"",HLOOKUP($I$2,Daten2011,'2011'!A57,FALSE))</f>
        <v>1383.29</v>
      </c>
      <c r="E54" s="45">
        <f>IF(ISERROR(D54/$D$4),"",D54/$D$4)</f>
        <v>9.321298374000175E-3</v>
      </c>
      <c r="F54" s="119">
        <f>'2011'!CL57</f>
        <v>86281.07</v>
      </c>
      <c r="G54" s="46">
        <f>F54/F4</f>
        <v>2.4133565939088397E-2</v>
      </c>
      <c r="I54" s="53">
        <f>ROWS($I$3:I54)</f>
        <v>52</v>
      </c>
      <c r="J54" s="57" t="str">
        <f>$M$5&amp;"            "&amp;'2011'!BE$4</f>
        <v>Kreis            Heidenheim (L)</v>
      </c>
    </row>
    <row r="55" spans="1:10" ht="15" customHeight="1">
      <c r="A55" s="112" t="str">
        <f>'2010'!B58</f>
        <v xml:space="preserve"> FFH-Gebiete</v>
      </c>
      <c r="B55" s="34">
        <f>'2011'!C58</f>
        <v>2011</v>
      </c>
      <c r="C55" s="32" t="str">
        <f>'2010'!D58</f>
        <v>Anzahl</v>
      </c>
      <c r="D55" s="119">
        <f>IF(ISERROR(HLOOKUP($I$2,Daten2011,'2011'!A58,FALSE)),"",HLOOKUP($I$2,Daten2011,'2011'!A58,FALSE))</f>
        <v>13</v>
      </c>
      <c r="E55" s="45"/>
      <c r="F55" s="119">
        <f>'2011'!CL58</f>
        <v>300</v>
      </c>
      <c r="G55" s="46"/>
      <c r="I55" s="53">
        <f>ROWS($I$3:I55)</f>
        <v>53</v>
      </c>
      <c r="J55" s="57" t="str">
        <f>$M$5&amp;"            "&amp;'2011'!BF$4</f>
        <v>Kreis            Ostalbkreis</v>
      </c>
    </row>
    <row r="56" spans="1:10" ht="15" customHeight="1">
      <c r="A56" s="112"/>
      <c r="B56" s="34"/>
      <c r="C56" s="32" t="str">
        <f>'2010'!D59</f>
        <v>ha</v>
      </c>
      <c r="D56" s="119">
        <f>IF(ISERROR(HLOOKUP($I$2,Daten2011,'2011'!A59,FALSE)),"",HLOOKUP($I$2,Daten2011,'2011'!A59,FALSE))</f>
        <v>7142.9500235680998</v>
      </c>
      <c r="E56" s="45">
        <f>IF(ISERROR(D56/$D$4),"",D56/$D$4)</f>
        <v>4.8132762067426095E-2</v>
      </c>
      <c r="F56" s="119">
        <f>'2011'!CL59</f>
        <v>426223.94</v>
      </c>
      <c r="G56" s="46">
        <f>F56/F4</f>
        <v>0.11921854423928743</v>
      </c>
      <c r="I56" s="53">
        <f>ROWS($I$3:I56)</f>
        <v>54</v>
      </c>
      <c r="J56" s="57" t="str">
        <f>$M$5&amp;"            "&amp;'2011'!BG$4</f>
        <v>Kreis            Baden-Baden (S)</v>
      </c>
    </row>
    <row r="57" spans="1:10" ht="15" customHeight="1">
      <c r="A57" s="112" t="str">
        <f>'2010'!B60</f>
        <v xml:space="preserve"> Vogelschutzgebiete (SPA-Gebiete)</v>
      </c>
      <c r="B57" s="34">
        <f>'2011'!C60</f>
        <v>2011</v>
      </c>
      <c r="C57" s="32" t="str">
        <f>'2010'!D60</f>
        <v>Anzahl</v>
      </c>
      <c r="D57" s="119">
        <f>IF(ISERROR(HLOOKUP($I$2,Daten2011,'2011'!A60,FALSE)),"",HLOOKUP($I$2,Daten2011,'2011'!A60,FALSE))</f>
        <v>3</v>
      </c>
      <c r="E57" s="45"/>
      <c r="F57" s="119">
        <f>'2011'!CL60</f>
        <v>101</v>
      </c>
      <c r="G57" s="46"/>
      <c r="I57" s="53">
        <f>ROWS($I$3:I57)</f>
        <v>55</v>
      </c>
      <c r="J57" s="57" t="str">
        <f>$M$5&amp;"            "&amp;'2011'!BH$4</f>
        <v>Kreis            Karlsruhe (S)</v>
      </c>
    </row>
    <row r="58" spans="1:10" ht="15" customHeight="1">
      <c r="A58" s="112"/>
      <c r="B58" s="34"/>
      <c r="C58" s="32" t="str">
        <f>'2010'!D61</f>
        <v>ha</v>
      </c>
      <c r="D58" s="119">
        <f>IF(ISERROR(HLOOKUP($I$2,Daten2011,'2011'!A61,FALSE)),"",HLOOKUP($I$2,Daten2011,'2011'!A61,FALSE))</f>
        <v>1207.4505157019</v>
      </c>
      <c r="E58" s="45">
        <f>IF(ISERROR(D58/$D$4),"",D58/$D$4)</f>
        <v>8.1364041731652754E-3</v>
      </c>
      <c r="F58" s="119">
        <f>'2011'!CL61</f>
        <v>397044.05</v>
      </c>
      <c r="G58" s="46">
        <f>F58/F4</f>
        <v>0.11105667513624611</v>
      </c>
      <c r="I58" s="53">
        <f>ROWS($I$3:I58)</f>
        <v>56</v>
      </c>
      <c r="J58" s="57" t="str">
        <f>$M$5&amp;"            "&amp;'2011'!BI$4</f>
        <v>Kreis            Karlsruhe (L)</v>
      </c>
    </row>
    <row r="59" spans="1:10" ht="15" customHeight="1">
      <c r="A59" s="112" t="str">
        <f>'2010'!B62</f>
        <v xml:space="preserve"> Wasserschutzgebiete</v>
      </c>
      <c r="B59" s="34">
        <f>'2011'!C62</f>
        <v>2010</v>
      </c>
      <c r="C59" s="32" t="str">
        <f>'2010'!D62</f>
        <v>Anzahl</v>
      </c>
      <c r="D59" s="119">
        <f>IF(ISERROR(HLOOKUP($I$2,Daten2011,'2011'!A62,FALSE)),"",HLOOKUP($I$2,Daten2011,'2011'!A62,FALSE))</f>
        <v>93</v>
      </c>
      <c r="E59" s="45"/>
      <c r="F59" s="119">
        <f>'2011'!CL62</f>
        <v>2577</v>
      </c>
      <c r="G59" s="46"/>
      <c r="I59" s="53">
        <f>ROWS($I$3:I59)</f>
        <v>57</v>
      </c>
      <c r="J59" s="57" t="str">
        <f>$M$5&amp;"            "&amp;'2011'!BJ$4</f>
        <v>Kreis            Rastatt (L)</v>
      </c>
    </row>
    <row r="60" spans="1:10" ht="15" customHeight="1" thickBot="1">
      <c r="A60" s="120"/>
      <c r="B60" s="34"/>
      <c r="C60" s="32" t="str">
        <f>'2010'!D63</f>
        <v>ha</v>
      </c>
      <c r="D60" s="119">
        <f>IF(ISERROR(HLOOKUP($I$2,Daten2011,'2011'!A63,FALSE)),"",HLOOKUP($I$2,Daten2011,'2011'!A63,FALSE))</f>
        <v>7444</v>
      </c>
      <c r="E60" s="45">
        <f>IF(ISERROR(D60/$D$4),"",D60/$D$4)</f>
        <v>5.0161387052647895E-2</v>
      </c>
      <c r="F60" s="119">
        <f>'2011'!CL63</f>
        <v>932763</v>
      </c>
      <c r="G60" s="46">
        <f>F60/F4</f>
        <v>0.26090192629787634</v>
      </c>
      <c r="I60" s="53">
        <f>ROWS($I$3:I60)</f>
        <v>58</v>
      </c>
      <c r="J60" s="57" t="str">
        <f>$M$5&amp;"            "&amp;'2011'!BK$4</f>
        <v>Kreis            Heidelberg (S)</v>
      </c>
    </row>
    <row r="61" spans="1:10" ht="18.75" customHeight="1">
      <c r="A61" s="10" t="s">
        <v>86</v>
      </c>
      <c r="B61" s="11"/>
      <c r="C61" s="47"/>
      <c r="D61" s="121"/>
      <c r="E61" s="48" t="s">
        <v>17</v>
      </c>
      <c r="F61" s="121"/>
      <c r="G61" s="49" t="s">
        <v>17</v>
      </c>
      <c r="I61" s="53">
        <f>ROWS($I$3:I61)</f>
        <v>59</v>
      </c>
      <c r="J61" s="57" t="str">
        <f>$M$5&amp;"            "&amp;'2011'!BL$4</f>
        <v>Kreis            Mannheim (S)</v>
      </c>
    </row>
    <row r="62" spans="1:10" ht="15" customHeight="1">
      <c r="A62" s="458" t="str">
        <f>'2010'!B65</f>
        <v>Anteil an der landw. genutzten Fläche</v>
      </c>
      <c r="B62" s="442">
        <f>'2011'!C65</f>
        <v>2010</v>
      </c>
      <c r="C62" s="422" t="str">
        <f>'2010'!D65</f>
        <v>ha LF</v>
      </c>
      <c r="D62" s="467">
        <f>IF(ISERROR(HLOOKUP($I$2,Daten2011,'2011'!A65,FALSE)),"",HLOOKUP($I$2,Daten2011,'2011'!A65,FALSE))</f>
        <v>74052.709999999992</v>
      </c>
      <c r="E62" s="468">
        <f>IF(ISERROR(HLOOKUP($I$2,Daten,'2010'!A93,FALSE)),"",HLOOKUP($I$2,Daten,'2010'!A93,FALSE))</f>
        <v>0.93</v>
      </c>
      <c r="F62" s="467">
        <f>'2011'!CL65</f>
        <v>757216</v>
      </c>
      <c r="G62" s="469">
        <v>0.56999999999999995</v>
      </c>
      <c r="I62" s="53">
        <f>ROWS($I$3:I62)</f>
        <v>60</v>
      </c>
      <c r="J62" s="57" t="str">
        <f>$M$5&amp;"            "&amp;'2011'!BM$4</f>
        <v>Kreis            Neckar-Odenwald-Kreis</v>
      </c>
    </row>
    <row r="63" spans="1:10" ht="15" customHeight="1">
      <c r="A63" s="112" t="str">
        <f>'2010'!B66</f>
        <v>davon Benachteiligte Agrarzone</v>
      </c>
      <c r="B63" s="34"/>
      <c r="C63" s="19" t="str">
        <f>'2010'!D66</f>
        <v>ha LF beantr.</v>
      </c>
      <c r="D63" s="388">
        <f>IF(ISERROR(HLOOKUP($I$2,Daten2011,'2011'!A66,FALSE)),"",HLOOKUP($I$2,Daten2011,'2011'!A66,FALSE))</f>
        <v>49371</v>
      </c>
      <c r="E63" s="45">
        <f>IF(ISERROR(D63/$D$32),"",D63/$D$32)</f>
        <v>0.64669976291212028</v>
      </c>
      <c r="F63" s="51">
        <f>'2011'!CL66</f>
        <v>532833</v>
      </c>
      <c r="G63" s="46">
        <f>F63/F32</f>
        <v>0.37789896084221991</v>
      </c>
      <c r="I63" s="53">
        <f>ROWS($I$3:I63)</f>
        <v>61</v>
      </c>
      <c r="J63" s="57" t="str">
        <f>$M$5&amp;"            "&amp;'2011'!BN$4</f>
        <v>Kreis            Rhein-Neckar-Kreis</v>
      </c>
    </row>
    <row r="64" spans="1:10" ht="15" customHeight="1" thickBot="1">
      <c r="A64" s="122" t="str">
        <f>'2010'!B67</f>
        <v>davon Berggebiete</v>
      </c>
      <c r="B64" s="9"/>
      <c r="C64" s="50" t="str">
        <f>'2010'!D67</f>
        <v>ha LF beantr.</v>
      </c>
      <c r="D64" s="389">
        <f>IF(ISERROR(HLOOKUP($I$2,Daten2011,'2011'!A67,FALSE)),"",HLOOKUP($I$2,Daten2011,'2011'!A67,FALSE))</f>
        <v>0</v>
      </c>
      <c r="E64" s="390">
        <f>IF(ISERROR(D64/$D$32),"",D64/$D$32)</f>
        <v>0</v>
      </c>
      <c r="F64" s="123">
        <f>'2011'!CL67</f>
        <v>96281</v>
      </c>
      <c r="G64" s="391">
        <f>F64/F32</f>
        <v>6.8284978311872163E-2</v>
      </c>
      <c r="I64" s="53">
        <f>ROWS($I$3:I64)</f>
        <v>62</v>
      </c>
      <c r="J64" s="57" t="str">
        <f>$M$5&amp;"            "&amp;'2011'!BO$4</f>
        <v>Kreis            Pforzheim (S)</v>
      </c>
    </row>
    <row r="65" spans="1:10" ht="18.75" customHeight="1">
      <c r="A65" s="10" t="s">
        <v>87</v>
      </c>
      <c r="B65" s="11"/>
      <c r="C65" s="47"/>
      <c r="D65" s="121"/>
      <c r="E65" s="48" t="s">
        <v>17</v>
      </c>
      <c r="F65" s="121"/>
      <c r="G65" s="49" t="s">
        <v>17</v>
      </c>
      <c r="I65" s="53">
        <f>ROWS($I$3:I65)</f>
        <v>63</v>
      </c>
      <c r="J65" s="57" t="str">
        <f>$M$5&amp;"            "&amp;'2011'!BP$4</f>
        <v>Kreis            Calw (L)</v>
      </c>
    </row>
    <row r="66" spans="1:10" ht="15" customHeight="1">
      <c r="A66" s="434" t="str">
        <f>'2010'!B69</f>
        <v>Landwirtschaftl. Betriebe (ab 5 ha LF)</v>
      </c>
      <c r="B66" s="422">
        <f>'2011'!C69</f>
        <v>2010</v>
      </c>
      <c r="C66" s="423" t="str">
        <f>'2010'!D69</f>
        <v>Anzahl</v>
      </c>
      <c r="D66" s="428">
        <f>IF(ISERROR(HLOOKUP($I$2,Daten2011,'2011'!A69,FALSE)),"",HLOOKUP($I$2,Daten2011,'2011'!A69,FALSE))</f>
        <v>124</v>
      </c>
      <c r="E66" s="470">
        <f>IF(ISERROR(D66/$D$20),"",D66/$D$20)</f>
        <v>6.1053668143771542E-2</v>
      </c>
      <c r="F66" s="471">
        <f>'2011'!CL69</f>
        <v>3042</v>
      </c>
      <c r="G66" s="472">
        <f>F66/$F$20</f>
        <v>6.8341121495327103E-2</v>
      </c>
      <c r="I66" s="53">
        <f>ROWS($I$3:I66)</f>
        <v>64</v>
      </c>
      <c r="J66" s="57" t="str">
        <f>$M$5&amp;"            "&amp;'2011'!BQ$4</f>
        <v>Kreis            Enzkreis</v>
      </c>
    </row>
    <row r="67" spans="1:10" ht="15" customHeight="1">
      <c r="A67" s="473" t="str">
        <f>'2010'!B70</f>
        <v xml:space="preserve">Landwirtschaftlich genutzte Fläche (LF)   </v>
      </c>
      <c r="B67" s="422"/>
      <c r="C67" s="454" t="str">
        <f>'2010'!D70</f>
        <v>ha</v>
      </c>
      <c r="D67" s="471">
        <f>IF(ISERROR(HLOOKUP($I$2,Daten2011,'2011'!A70,FALSE)),"",HLOOKUP($I$2,Daten2011,'2011'!A70,FALSE))</f>
        <v>4615</v>
      </c>
      <c r="E67" s="470">
        <f>IF(ISERROR(D67/$D$32),"",D67/$D$32)</f>
        <v>6.0450859934768085E-2</v>
      </c>
      <c r="F67" s="428">
        <f>'2011'!CL70</f>
        <v>98367</v>
      </c>
      <c r="G67" s="472">
        <f>F67/$F$32</f>
        <v>6.9764423527008734E-2</v>
      </c>
      <c r="I67" s="53">
        <f>ROWS($I$3:I67)</f>
        <v>65</v>
      </c>
      <c r="J67" s="57" t="str">
        <f>$M$5&amp;"            "&amp;'2011'!BR$4</f>
        <v>Kreis            Freudenstadt</v>
      </c>
    </row>
    <row r="68" spans="1:10" ht="15" customHeight="1" thickBot="1">
      <c r="A68" s="434" t="str">
        <f>'2010'!B71</f>
        <v>Ø Betriebsgröße (Betriebe ab 5 ha LF)</v>
      </c>
      <c r="B68" s="422"/>
      <c r="C68" s="423" t="str">
        <f>'2010'!D71</f>
        <v>ha</v>
      </c>
      <c r="D68" s="474">
        <f>IF(ISERROR(HLOOKUP($I$2,Daten2011,'2011'!A71,FALSE)),"",HLOOKUP($I$2,Daten2011,'2011'!A71,FALSE))</f>
        <v>37.217741935483872</v>
      </c>
      <c r="E68" s="435"/>
      <c r="F68" s="475">
        <f>'2011'!CL71</f>
        <v>32.336291913214993</v>
      </c>
      <c r="G68" s="433"/>
      <c r="I68" s="53">
        <f>ROWS($I$3:I68)</f>
        <v>66</v>
      </c>
      <c r="J68" s="57" t="str">
        <f>$M$5&amp;"            "&amp;'2011'!BS$4</f>
        <v>Kreis            Freiburg (S)</v>
      </c>
    </row>
    <row r="69" spans="1:10" ht="18.75" customHeight="1">
      <c r="A69" s="10" t="s">
        <v>89</v>
      </c>
      <c r="B69" s="11"/>
      <c r="C69" s="47"/>
      <c r="D69" s="121"/>
      <c r="E69" s="48" t="s">
        <v>17</v>
      </c>
      <c r="F69" s="121"/>
      <c r="G69" s="49" t="s">
        <v>17</v>
      </c>
      <c r="I69" s="53">
        <f>ROWS($I$3:I69)</f>
        <v>67</v>
      </c>
      <c r="J69" s="57" t="str">
        <f>$M$5&amp;"            "&amp;'2011'!BT$4</f>
        <v>Kreis            Breisgau-Hoch-schwarzwald</v>
      </c>
    </row>
    <row r="70" spans="1:10" ht="15" customHeight="1">
      <c r="A70" s="434" t="str">
        <f>'2010'!B73</f>
        <v>Ackerbaubetriebe</v>
      </c>
      <c r="B70" s="422">
        <f>'2011'!C73</f>
        <v>2010</v>
      </c>
      <c r="C70" s="423" t="str">
        <f>'2010'!D73</f>
        <v>Anzahl</v>
      </c>
      <c r="D70" s="428">
        <f>IF(ISERROR(HLOOKUP($I$2,Daten2011,'2011'!A73,FALSE)),"",HLOOKUP($I$2,Daten2011,'2011'!A73,FALSE))</f>
        <v>214</v>
      </c>
      <c r="E70" s="470">
        <f t="shared" ref="E70:E75" si="4">IF(ISERROR(D70/SUM($D$70:$D$75)),"",D70/SUM($D$70:$D$75))</f>
        <v>0.10609816559246406</v>
      </c>
      <c r="F70" s="471">
        <f>'2011'!CL73</f>
        <v>8894</v>
      </c>
      <c r="G70" s="476">
        <f t="shared" ref="G70:G75" si="5">F70/SUM($F$70:$F$75)</f>
        <v>0.19981128684399713</v>
      </c>
      <c r="I70" s="53">
        <f>ROWS($I$3:I70)</f>
        <v>68</v>
      </c>
      <c r="J70" s="57" t="str">
        <f>$M$5&amp;"            "&amp;'2011'!BU$4</f>
        <v>Kreis            Emmendingen (L)</v>
      </c>
    </row>
    <row r="71" spans="1:10" ht="15" customHeight="1">
      <c r="A71" s="473" t="str">
        <f>'2010'!B74</f>
        <v>Gartenbaubetriebe</v>
      </c>
      <c r="B71" s="453"/>
      <c r="C71" s="423" t="str">
        <f>'2010'!D74</f>
        <v>Anzahl</v>
      </c>
      <c r="D71" s="428">
        <f>IF(ISERROR(HLOOKUP($I$2,Daten2011,'2011'!A74,FALSE)),"",HLOOKUP($I$2,Daten2011,'2011'!A74,FALSE))</f>
        <v>19</v>
      </c>
      <c r="E71" s="470">
        <f t="shared" si="4"/>
        <v>9.4199305899851267E-3</v>
      </c>
      <c r="F71" s="428">
        <f>'2011'!CL74</f>
        <v>1210</v>
      </c>
      <c r="G71" s="476">
        <f t="shared" si="5"/>
        <v>2.7183680805176132E-2</v>
      </c>
      <c r="I71" s="53">
        <f>ROWS($I$3:I71)</f>
        <v>69</v>
      </c>
      <c r="J71" s="57" t="str">
        <f>$M$5&amp;"            "&amp;'2011'!BV$4</f>
        <v>Kreis            Ortenaukreis</v>
      </c>
    </row>
    <row r="72" spans="1:10" ht="15" customHeight="1">
      <c r="A72" s="473" t="str">
        <f>'2010'!B75</f>
        <v>Dauerkulturbetriebe</v>
      </c>
      <c r="B72" s="453"/>
      <c r="C72" s="423" t="str">
        <f>'2010'!D75</f>
        <v>Anzahl</v>
      </c>
      <c r="D72" s="428" t="str">
        <f>IF(ISERROR(HLOOKUP($I$2,Daten2011,'2011'!A75,FALSE)),"",HLOOKUP($I$2,Daten2011,'2011'!A75,FALSE))</f>
        <v>*</v>
      </c>
      <c r="E72" s="470" t="str">
        <f t="shared" si="4"/>
        <v/>
      </c>
      <c r="F72" s="428">
        <f>'2011'!CL75</f>
        <v>9257</v>
      </c>
      <c r="G72" s="476">
        <f t="shared" si="5"/>
        <v>0.20796639108554996</v>
      </c>
      <c r="I72" s="53">
        <f>ROWS($I$3:I72)</f>
        <v>70</v>
      </c>
      <c r="J72" s="57" t="str">
        <f>$M$5&amp;"            "&amp;'2011'!BW$4</f>
        <v>Kreis            Rottweil (L)</v>
      </c>
    </row>
    <row r="73" spans="1:10" ht="15" customHeight="1">
      <c r="A73" s="473" t="str">
        <f>'2010'!B76</f>
        <v>Weideviehbetriebe</v>
      </c>
      <c r="B73" s="453"/>
      <c r="C73" s="423" t="str">
        <f>'2010'!D76</f>
        <v>Anzahl</v>
      </c>
      <c r="D73" s="428">
        <f>IF(ISERROR(HLOOKUP($I$2,Daten2011,'2011'!A76,FALSE)),"",HLOOKUP($I$2,Daten2011,'2011'!A76,FALSE))</f>
        <v>923</v>
      </c>
      <c r="E73" s="470">
        <f t="shared" si="4"/>
        <v>0.45761031234506694</v>
      </c>
      <c r="F73" s="428">
        <f>'2011'!CL76</f>
        <v>16114</v>
      </c>
      <c r="G73" s="476">
        <f t="shared" si="5"/>
        <v>0.36201473759884972</v>
      </c>
      <c r="I73" s="53">
        <f>ROWS($I$3:I73)</f>
        <v>71</v>
      </c>
      <c r="J73" s="57" t="str">
        <f>$M$5&amp;"            "&amp;'2011'!BX$4</f>
        <v>Kreis            Schwarzwald-Baar-Kreis</v>
      </c>
    </row>
    <row r="74" spans="1:10" ht="15" customHeight="1">
      <c r="A74" s="473" t="str">
        <f>'2010'!B77</f>
        <v>Veredlungsbetriebe</v>
      </c>
      <c r="B74" s="453"/>
      <c r="C74" s="423" t="str">
        <f>'2010'!D77</f>
        <v>Anzahl</v>
      </c>
      <c r="D74" s="428">
        <f>IF(ISERROR(HLOOKUP($I$2,Daten2011,'2011'!A77,FALSE)),"",HLOOKUP($I$2,Daten2011,'2011'!A77,FALSE))</f>
        <v>538</v>
      </c>
      <c r="E74" s="470">
        <f t="shared" si="4"/>
        <v>0.26673277144273672</v>
      </c>
      <c r="F74" s="428">
        <f>'2011'!CL77</f>
        <v>1997</v>
      </c>
      <c r="G74" s="476">
        <f t="shared" si="5"/>
        <v>4.4864306254493169E-2</v>
      </c>
      <c r="I74" s="53">
        <f>ROWS($I$3:I74)</f>
        <v>72</v>
      </c>
      <c r="J74" s="57" t="str">
        <f>$M$5&amp;"            "&amp;'2011'!BY$4</f>
        <v>Kreis            Tuttlingen (L)</v>
      </c>
    </row>
    <row r="75" spans="1:10" ht="15" customHeight="1" thickBot="1">
      <c r="A75" s="473" t="str">
        <f>'2010'!B78</f>
        <v>Verbundbetriebe</v>
      </c>
      <c r="B75" s="453"/>
      <c r="C75" s="423" t="str">
        <f>'2010'!D78</f>
        <v>Anzahl</v>
      </c>
      <c r="D75" s="428">
        <f>IF(ISERROR(HLOOKUP($I$2,Daten2011,'2011'!A78,FALSE)),"",HLOOKUP($I$2,Daten2011,'2011'!A78,FALSE))</f>
        <v>323</v>
      </c>
      <c r="E75" s="470">
        <f t="shared" si="4"/>
        <v>0.16013882002974714</v>
      </c>
      <c r="F75" s="428">
        <f>'2011'!CL78</f>
        <v>7040</v>
      </c>
      <c r="G75" s="476">
        <f t="shared" si="5"/>
        <v>0.15815959741193386</v>
      </c>
      <c r="I75" s="53">
        <f>ROWS($I$3:I75)</f>
        <v>73</v>
      </c>
      <c r="J75" s="57" t="str">
        <f>$M$5&amp;"            "&amp;'2011'!BZ$4</f>
        <v>Kreis            Konstanz</v>
      </c>
    </row>
    <row r="76" spans="1:10" ht="18.75" customHeight="1">
      <c r="A76" s="10" t="s">
        <v>84</v>
      </c>
      <c r="B76" s="11"/>
      <c r="C76" s="47"/>
      <c r="D76" s="121"/>
      <c r="E76" s="48"/>
      <c r="F76" s="78"/>
      <c r="G76" s="49"/>
      <c r="I76" s="53">
        <f>ROWS($I$3:I76)</f>
        <v>74</v>
      </c>
      <c r="J76" s="57" t="str">
        <f>$M$5&amp;"            "&amp;'2011'!CA$4</f>
        <v>Kreis            Lörrach (L)</v>
      </c>
    </row>
    <row r="77" spans="1:10" ht="15" customHeight="1">
      <c r="A77" s="434" t="str">
        <f>'2010'!B80</f>
        <v>Antragsteller</v>
      </c>
      <c r="B77" s="422">
        <f>'2011'!C79</f>
        <v>2011</v>
      </c>
      <c r="C77" s="423" t="str">
        <f>'2010'!D80</f>
        <v>Anzahl</v>
      </c>
      <c r="D77" s="467">
        <f>IF(ISERROR(HLOOKUP($I$2,Daten2011,'2011'!A80,FALSE)),"",HLOOKUP($I$2,Daten2011,'2011'!A80,FALSE))</f>
        <v>2608</v>
      </c>
      <c r="E77" s="494"/>
      <c r="F77" s="471">
        <f>'2011'!CL80</f>
        <v>48555</v>
      </c>
      <c r="G77" s="495"/>
      <c r="I77" s="53">
        <f>ROWS($I$3:I77)</f>
        <v>75</v>
      </c>
      <c r="J77" s="57" t="str">
        <f>$M$5&amp;"            "&amp;'2011'!CB$4</f>
        <v>Kreis            Waldshut (L)</v>
      </c>
    </row>
    <row r="78" spans="1:10" ht="15" customHeight="1">
      <c r="A78" s="434" t="str">
        <f>'2010'!B81</f>
        <v>Schläge</v>
      </c>
      <c r="B78" s="422"/>
      <c r="C78" s="423" t="str">
        <f>'2010'!D81</f>
        <v>Anzahl</v>
      </c>
      <c r="D78" s="467">
        <f>IF(ISERROR(HLOOKUP($I$2,Daten2011,'2011'!A81,FALSE)),"",HLOOKUP($I$2,Daten2011,'2011'!A81,FALSE))</f>
        <v>69554</v>
      </c>
      <c r="E78" s="494"/>
      <c r="F78" s="471">
        <f>'2011'!CL81</f>
        <v>1560293</v>
      </c>
      <c r="G78" s="495"/>
      <c r="I78" s="53">
        <f>ROWS($I$3:I78)</f>
        <v>76</v>
      </c>
      <c r="J78" s="57" t="str">
        <f>$M$5&amp;"            "&amp;'2011'!CC$4</f>
        <v>Kreis            Reutlingen</v>
      </c>
    </row>
    <row r="79" spans="1:10" ht="15" customHeight="1">
      <c r="A79" s="434" t="str">
        <f>'2010'!B82</f>
        <v>Schläge / Antrag</v>
      </c>
      <c r="B79" s="422"/>
      <c r="C79" s="423" t="str">
        <f>'2010'!D82</f>
        <v>Anzahl</v>
      </c>
      <c r="D79" s="467">
        <f>IF(ISERROR(HLOOKUP($I$2,Daten2011,'2011'!A82,FALSE)),"",HLOOKUP($I$2,Daten2011,'2011'!A82,FALSE))</f>
        <v>26.66947852760736</v>
      </c>
      <c r="E79" s="494"/>
      <c r="F79" s="471">
        <f>'2011'!CL82</f>
        <v>32.134548450211099</v>
      </c>
      <c r="G79" s="495"/>
      <c r="I79" s="53">
        <f>ROWS($I$3:I79)</f>
        <v>77</v>
      </c>
      <c r="J79" s="57" t="str">
        <f>$M$5&amp;"            "&amp;'2011'!CD$4</f>
        <v>Kreis            Tübingen (L)</v>
      </c>
    </row>
    <row r="80" spans="1:10" ht="15" customHeight="1">
      <c r="A80" s="434" t="str">
        <f>'2010'!B83</f>
        <v>Ø Schlaggröße Ackerland</v>
      </c>
      <c r="B80" s="422"/>
      <c r="C80" s="423" t="str">
        <f>'2010'!D83</f>
        <v>ha</v>
      </c>
      <c r="D80" s="496">
        <f>IF(ISERROR(HLOOKUP($I$2,Daten2011,'2011'!A83,FALSE)),"",HLOOKUP($I$2,Daten2011,'2011'!A83,FALSE))</f>
        <v>2.15</v>
      </c>
      <c r="E80" s="494"/>
      <c r="F80" s="497">
        <f>'2011'!CL83</f>
        <v>1.35</v>
      </c>
      <c r="G80" s="495"/>
      <c r="I80" s="53">
        <f>ROWS($I$3:I80)</f>
        <v>78</v>
      </c>
      <c r="J80" s="57" t="str">
        <f>$M$5&amp;"            "&amp;'2011'!CE$4</f>
        <v>Kreis            Zollernalbkreis</v>
      </c>
    </row>
    <row r="81" spans="1:10" ht="15" customHeight="1">
      <c r="A81" s="434" t="str">
        <f>'2010'!B84</f>
        <v>Ø Schlaggröße Dauergrünland</v>
      </c>
      <c r="B81" s="422"/>
      <c r="C81" s="423" t="str">
        <f>'2010'!D84</f>
        <v>ha</v>
      </c>
      <c r="D81" s="496">
        <f>IF(ISERROR(HLOOKUP($I$2,Daten2011,'2011'!A84,FALSE)),"",HLOOKUP($I$2,Daten2011,'2011'!A84,FALSE))</f>
        <v>0.98</v>
      </c>
      <c r="E81" s="494"/>
      <c r="F81" s="497">
        <f>'2011'!CL84</f>
        <v>0.96</v>
      </c>
      <c r="G81" s="495"/>
      <c r="I81" s="53">
        <f>ROWS($I$3:I81)</f>
        <v>79</v>
      </c>
      <c r="J81" s="57" t="str">
        <f>$M$5&amp;"            "&amp;'2011'!CF$4</f>
        <v>Kreis            Ulm (S)</v>
      </c>
    </row>
    <row r="82" spans="1:10" ht="15" customHeight="1" thickBot="1">
      <c r="A82" s="498" t="str">
        <f>'2010'!B85</f>
        <v>Ø Schlaggröße Dauerkulturen</v>
      </c>
      <c r="B82" s="499"/>
      <c r="C82" s="500" t="str">
        <f>'2010'!D85</f>
        <v>ha</v>
      </c>
      <c r="D82" s="501">
        <f>IF(ISERROR(HLOOKUP($I$2,Daten2011,'2011'!A85,FALSE)),"",HLOOKUP($I$2,Daten2011,'2011'!A85,FALSE))</f>
        <v>0.37</v>
      </c>
      <c r="E82" s="502"/>
      <c r="F82" s="503">
        <f>'2011'!CL85</f>
        <v>0.34</v>
      </c>
      <c r="G82" s="504"/>
      <c r="I82" s="53">
        <f>ROWS($I$3:I82)</f>
        <v>80</v>
      </c>
      <c r="J82" s="57" t="str">
        <f>$M$5&amp;"            "&amp;'2011'!CG$4</f>
        <v>Kreis            Alb-Donau-Kreis</v>
      </c>
    </row>
    <row r="83" spans="1:10" ht="18.75" customHeight="1" thickTop="1">
      <c r="A83" s="10" t="s">
        <v>199</v>
      </c>
      <c r="B83" s="11"/>
      <c r="C83" s="47"/>
      <c r="D83" s="121"/>
      <c r="E83" s="73" t="s">
        <v>210</v>
      </c>
      <c r="F83" s="78" t="s">
        <v>212</v>
      </c>
      <c r="G83" s="49"/>
      <c r="I83" s="53">
        <f>ROWS($I$3:I83)</f>
        <v>81</v>
      </c>
      <c r="J83" s="57" t="str">
        <f>$M$5&amp;"            "&amp;'2011'!CH$4</f>
        <v>Kreis            Biberach (L)</v>
      </c>
    </row>
    <row r="84" spans="1:10" ht="15" customHeight="1" thickBot="1">
      <c r="A84" s="143" t="str">
        <f>'2010'!B87</f>
        <v>Ø Kaufpreis</v>
      </c>
      <c r="B84" s="505">
        <f>'2011'!C86</f>
        <v>2010</v>
      </c>
      <c r="C84" s="144" t="str">
        <f>'2010'!D87</f>
        <v>EUR/ha</v>
      </c>
      <c r="D84" s="506">
        <f>IF(ISERROR(HLOOKUP($I$2,Daten2011,'2011'!A87,FALSE)),"",HLOOKUP($I$2,Daten2011,'2011'!A87,FALSE))</f>
        <v>18138</v>
      </c>
      <c r="E84" s="507">
        <f>IF(ISERROR(D84/F84),"",D84/F84)</f>
        <v>0.91499772990970085</v>
      </c>
      <c r="F84" s="508">
        <f>'2011'!CL87</f>
        <v>19823</v>
      </c>
      <c r="G84" s="509"/>
      <c r="I84" s="53">
        <f>ROWS($I$3:I84)</f>
        <v>82</v>
      </c>
      <c r="J84" s="57" t="str">
        <f>$M$5&amp;"            "&amp;'2011'!CI$4</f>
        <v>Kreis            Bodenseekreis</v>
      </c>
    </row>
    <row r="85" spans="1:10" ht="18.75" customHeight="1">
      <c r="A85" s="72" t="s">
        <v>209</v>
      </c>
      <c r="B85" s="11"/>
      <c r="C85" s="47"/>
      <c r="D85" s="121"/>
      <c r="E85" s="73" t="s">
        <v>210</v>
      </c>
      <c r="F85" s="78" t="s">
        <v>212</v>
      </c>
      <c r="G85" s="48"/>
      <c r="I85" s="53">
        <f>ROWS($I$3:I85)</f>
        <v>83</v>
      </c>
      <c r="J85" s="57" t="str">
        <f>$M$5&amp;"            "&amp;'2011'!CJ$4</f>
        <v>Kreis            Ravensburg (L)</v>
      </c>
    </row>
    <row r="86" spans="1:10" ht="15" customHeight="1">
      <c r="A86" s="296" t="str">
        <f>'2010'!B89</f>
        <v>Getreide insg. (ohne Körnermais)</v>
      </c>
      <c r="B86" s="19">
        <f>'2011'!C88</f>
        <v>2010</v>
      </c>
      <c r="C86" s="20" t="str">
        <f>'2010'!D89</f>
        <v>dt/ha</v>
      </c>
      <c r="D86" s="392">
        <f>IF(ISERROR(HLOOKUP($I$2,Daten2011,'2011'!A89,FALSE)),"",HLOOKUP($I$2,Daten2011,'2011'!A89,FALSE))</f>
        <v>68.3</v>
      </c>
      <c r="E86" s="393">
        <f>IF(ISERROR(D86/F86),"",D86/F86)</f>
        <v>1.0688575899843504</v>
      </c>
      <c r="F86" s="394">
        <f>'2011'!CL89</f>
        <v>63.9</v>
      </c>
      <c r="G86" s="30">
        <v>1</v>
      </c>
      <c r="I86" s="53">
        <f>ROWS($I$3:I86)</f>
        <v>84</v>
      </c>
      <c r="J86" s="57" t="str">
        <f>$M$5&amp;"            "&amp;'2011'!CK$4</f>
        <v>Kreis            Sigmaringen (L)</v>
      </c>
    </row>
    <row r="87" spans="1:10" ht="15" customHeight="1">
      <c r="A87" s="395" t="str">
        <f>'2010'!B90</f>
        <v>Zuckerrüben</v>
      </c>
      <c r="B87" s="31"/>
      <c r="C87" s="20" t="str">
        <f>'2010'!D90</f>
        <v>dt/ha</v>
      </c>
      <c r="D87" s="392">
        <f>IF(ISERROR(HLOOKUP($I$2,Daten2011,'2011'!A90,FALSE)),"",HLOOKUP($I$2,Daten2011,'2011'!A90,FALSE))</f>
        <v>616.6</v>
      </c>
      <c r="E87" s="393">
        <f>IF(ISERROR(D87/F87),"",D87/F87)</f>
        <v>0.89375271778518628</v>
      </c>
      <c r="F87" s="111">
        <f>'2011'!CL90</f>
        <v>689.9</v>
      </c>
      <c r="G87" s="30">
        <v>1</v>
      </c>
      <c r="I87" s="54">
        <f>ROWS($I$3:I87)</f>
        <v>85</v>
      </c>
      <c r="J87" s="58" t="str">
        <f>$M$6&amp;"             "&amp;'2011'!CL$4</f>
        <v>Land             Baden-Württemberg</v>
      </c>
    </row>
    <row r="88" spans="1:10" ht="15" customHeight="1">
      <c r="A88" s="395" t="str">
        <f>'2010'!B91</f>
        <v>Winterraps</v>
      </c>
      <c r="B88" s="31"/>
      <c r="C88" s="20" t="str">
        <f>'2010'!D91</f>
        <v>dt/ha</v>
      </c>
      <c r="D88" s="392">
        <f>IF(ISERROR(HLOOKUP($I$2,Daten2011,'2011'!A91,FALSE)),"",HLOOKUP($I$2,Daten2011,'2011'!A91,FALSE))</f>
        <v>40.4</v>
      </c>
      <c r="E88" s="393">
        <f>IF(ISERROR(D88/F88),"",D88/F88)</f>
        <v>1.0412371134020619</v>
      </c>
      <c r="F88" s="111">
        <f>'2011'!CL91</f>
        <v>38.799999999999997</v>
      </c>
      <c r="G88" s="30">
        <v>1</v>
      </c>
    </row>
    <row r="89" spans="1:10" ht="15" customHeight="1" thickBot="1">
      <c r="A89" s="396" t="str">
        <f>'2010'!B92</f>
        <v>Silomais</v>
      </c>
      <c r="B89" s="397"/>
      <c r="C89" s="398" t="str">
        <f>'2010'!D92</f>
        <v>dt/ha</v>
      </c>
      <c r="D89" s="399">
        <f>IF(ISERROR(HLOOKUP($I$2,Daten2011,'2011'!A92,FALSE)),"",HLOOKUP($I$2,Daten2011,'2011'!A92,FALSE))</f>
        <v>449.1</v>
      </c>
      <c r="E89" s="400">
        <f>IF(ISERROR(D89/F89),"",D89/F89)</f>
        <v>1.0227738556137553</v>
      </c>
      <c r="F89" s="401">
        <f>'2011'!CL92</f>
        <v>439.1</v>
      </c>
      <c r="G89" s="402">
        <v>1</v>
      </c>
    </row>
    <row r="90" spans="1:10" ht="18" customHeight="1">
      <c r="A90" s="102" t="str">
        <f>IF(ISERROR(HLOOKUP($I$2,Daten,'2010'!A99,FALSE)),"",HLOOKUP($I$2,Daten,'2010'!A99,FALSE))</f>
        <v xml:space="preserve"> </v>
      </c>
      <c r="D90" s="477"/>
    </row>
    <row r="91" spans="1:10">
      <c r="A91" s="369" t="s">
        <v>312</v>
      </c>
      <c r="B91" s="38"/>
      <c r="D91" s="108" t="s">
        <v>259</v>
      </c>
    </row>
    <row r="92" spans="1:10">
      <c r="A92" s="370" t="s">
        <v>311</v>
      </c>
      <c r="B92" s="39"/>
    </row>
    <row r="93" spans="1:10">
      <c r="A93" s="370" t="s">
        <v>313</v>
      </c>
      <c r="B93" s="39"/>
    </row>
    <row r="94" spans="1:10">
      <c r="A94" s="370" t="s">
        <v>314</v>
      </c>
    </row>
    <row r="95" spans="1:10">
      <c r="A95" s="369" t="s">
        <v>83</v>
      </c>
    </row>
    <row r="96" spans="1:10" ht="12.75" customHeight="1">
      <c r="A96" s="369" t="s">
        <v>223</v>
      </c>
    </row>
    <row r="97" spans="1:7" ht="12.75" customHeight="1">
      <c r="A97" s="369" t="s">
        <v>289</v>
      </c>
      <c r="B97" s="368"/>
      <c r="C97" s="368"/>
      <c r="D97" s="368"/>
      <c r="E97" s="368"/>
      <c r="F97" s="368"/>
      <c r="G97" s="368"/>
    </row>
    <row r="98" spans="1:7">
      <c r="A98" s="371" t="s">
        <v>290</v>
      </c>
    </row>
  </sheetData>
  <mergeCells count="5">
    <mergeCell ref="A2:C2"/>
    <mergeCell ref="D2:E2"/>
    <mergeCell ref="F1:G1"/>
    <mergeCell ref="F2:G2"/>
    <mergeCell ref="D1:E1"/>
  </mergeCells>
  <phoneticPr fontId="0" type="noConversion"/>
  <hyperlinks>
    <hyperlink ref="N1" location="Deckblatt!A19" display="Hinweise"/>
  </hyperlinks>
  <pageMargins left="0.59055118110236227" right="0.59055118110236227" top="0.59055118110236227" bottom="0.59055118110236227" header="0.51181102362204722" footer="0.39370078740157483"/>
  <pageSetup paperSize="9" scale="91" fitToHeight="0" orientation="portrait" r:id="rId1"/>
  <headerFooter alignWithMargins="0">
    <oddFooter>&amp;L&amp;"Arial,Fett Kursiv"&amp;12LEL&amp;"Arial,Standard"&amp;10 Schwäbisch Gmünd, Ref. 32&amp;C10.01.2012&amp;R&amp;"Arial,Fett"&amp;P</oddFooter>
  </headerFooter>
  <rowBreaks count="1" manualBreakCount="1">
    <brk id="5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18828" r:id="rId4" name="Drop Down 44">
              <controlPr defaultSize="0" print="0" autoLine="0" autoPict="0">
                <anchor moveWithCells="1">
                  <from>
                    <xdr:col>2</xdr:col>
                    <xdr:colOff>266700</xdr:colOff>
                    <xdr:row>1</xdr:row>
                    <xdr:rowOff>9525</xdr:rowOff>
                  </from>
                  <to>
                    <xdr:col>4</xdr:col>
                    <xdr:colOff>514350</xdr:colOff>
                    <xdr:row>1</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98"/>
  <sheetViews>
    <sheetView zoomScaleNormal="100" workbookViewId="0">
      <pane ySplit="2" topLeftCell="A63" activePane="bottomLeft" state="frozen"/>
      <selection pane="bottomLeft" activeCell="D78" sqref="D78"/>
    </sheetView>
  </sheetViews>
  <sheetFormatPr baseColWidth="10" defaultRowHeight="12.75"/>
  <cols>
    <col min="1" max="1" width="43.7109375" style="7" customWidth="1"/>
    <col min="2" max="2" width="11.5703125" style="6" customWidth="1"/>
    <col min="3" max="5" width="14.7109375" style="7" customWidth="1"/>
    <col min="6" max="6" width="2.140625" style="7" customWidth="1"/>
    <col min="7" max="7" width="11.42578125" style="7" hidden="1" customWidth="1"/>
    <col min="8" max="8" width="8.7109375" style="7" hidden="1" customWidth="1"/>
    <col min="9" max="9" width="11.42578125" style="7" hidden="1" customWidth="1"/>
    <col min="10" max="10" width="9.42578125" style="7" hidden="1" customWidth="1"/>
    <col min="11" max="11" width="15.85546875" style="7" hidden="1" customWidth="1"/>
    <col min="12" max="12" width="15.85546875" style="7" customWidth="1"/>
    <col min="13" max="16384" width="11.42578125" style="7"/>
  </cols>
  <sheetData>
    <row r="1" spans="1:12" ht="21.75" customHeight="1" thickTop="1">
      <c r="A1" s="101" t="s">
        <v>265</v>
      </c>
      <c r="B1" s="69"/>
      <c r="C1" s="519" t="str">
        <f>Strukturdaten!D1&amp;" "&amp;Strukturdaten!D2</f>
        <v>Dienstbezirk Ilshofen</v>
      </c>
      <c r="D1" s="521"/>
      <c r="E1" s="522"/>
      <c r="L1" s="105" t="s">
        <v>248</v>
      </c>
    </row>
    <row r="2" spans="1:12" ht="33" customHeight="1" thickBot="1">
      <c r="A2" s="104"/>
      <c r="B2" s="70"/>
      <c r="C2" s="136">
        <f>H2</f>
        <v>2001</v>
      </c>
      <c r="D2" s="134">
        <f>J2</f>
        <v>2011</v>
      </c>
      <c r="E2" s="155" t="str">
        <f>"Veränderung"&amp;" ("&amp;C2&amp;" = 100)"</f>
        <v>Veränderung (2001 = 100)</v>
      </c>
      <c r="F2" s="89"/>
      <c r="G2" s="127">
        <v>1</v>
      </c>
      <c r="H2" s="129">
        <f>VLOOKUP(G2,G3:H13,2)</f>
        <v>2001</v>
      </c>
      <c r="I2" s="128">
        <v>6</v>
      </c>
      <c r="J2" s="129">
        <f>VLOOKUP(I2,G3:I13,3)</f>
        <v>2011</v>
      </c>
      <c r="K2" s="7">
        <f>Strukturdaten!I2+5</f>
        <v>21</v>
      </c>
    </row>
    <row r="3" spans="1:12" s="17" customFormat="1" ht="18.75" customHeight="1">
      <c r="A3" s="10" t="s">
        <v>67</v>
      </c>
      <c r="B3" s="12"/>
      <c r="C3" s="13"/>
      <c r="D3" s="135"/>
      <c r="E3" s="16"/>
      <c r="F3" s="7"/>
      <c r="G3" s="53">
        <f>ROWS($G$3:G3)</f>
        <v>1</v>
      </c>
      <c r="H3" s="57">
        <v>2001</v>
      </c>
      <c r="I3" s="57">
        <v>2001</v>
      </c>
      <c r="J3" s="57"/>
      <c r="K3" s="125"/>
    </row>
    <row r="4" spans="1:12" ht="15" customHeight="1">
      <c r="A4" s="18" t="str">
        <f>'2011'!B7</f>
        <v>Bodenfläche (Flächenerhebung) insg.</v>
      </c>
      <c r="B4" s="20" t="str">
        <f>'2011'!D7</f>
        <v>ha</v>
      </c>
      <c r="C4" s="254">
        <f ca="1">IF($H$2=0,0,INDIRECT(ADDRESS(7,$K$2,,,$H$2)))</f>
        <v>148403</v>
      </c>
      <c r="D4" s="255">
        <f ca="1">IF($J$2=0,0,INDIRECT(ADDRESS(7,$K$2,,,$J$2)))</f>
        <v>148401</v>
      </c>
      <c r="E4" s="248">
        <f ca="1">IF(ISERROR(D4/C4)=TRUE,0,D4/C4-1)</f>
        <v>-1.3476816506430289E-5</v>
      </c>
      <c r="F4" s="24"/>
      <c r="G4" s="53">
        <f>ROWS($G$3:G4)</f>
        <v>2</v>
      </c>
      <c r="H4" s="57">
        <v>2007</v>
      </c>
      <c r="I4" s="57">
        <v>2007</v>
      </c>
      <c r="J4" s="57"/>
      <c r="K4" s="125"/>
    </row>
    <row r="5" spans="1:12" ht="15" customHeight="1">
      <c r="A5" s="109" t="str">
        <f>'2011'!B8</f>
        <v xml:space="preserve">davon Siedlungs- und Verkehrsfläche 1) </v>
      </c>
      <c r="B5" s="20" t="str">
        <f>'2011'!D8</f>
        <v>ha</v>
      </c>
      <c r="C5" s="256">
        <f ca="1">IF($H$2=0,0,INDIRECT(ADDRESS(8,$K$2,,,$H$2)))</f>
        <v>15573</v>
      </c>
      <c r="D5" s="257">
        <f ca="1">IF($J$2=0,0,INDIRECT(ADDRESS(8,$K$2,,,$J$2)))</f>
        <v>16895</v>
      </c>
      <c r="E5" s="247">
        <f t="shared" ref="E5:E18" ca="1" si="0">IF(ISERROR(D5/C5)=TRUE,0,D5/C5-1)</f>
        <v>8.4890515636036668E-2</v>
      </c>
      <c r="F5" s="24"/>
      <c r="G5" s="53">
        <f>ROWS($G$3:G5)</f>
        <v>3</v>
      </c>
      <c r="H5" s="57">
        <v>2008</v>
      </c>
      <c r="I5" s="57">
        <v>2008</v>
      </c>
      <c r="J5" s="57"/>
      <c r="K5" s="125"/>
    </row>
    <row r="6" spans="1:12" ht="15" customHeight="1">
      <c r="A6" s="110" t="str">
        <f>'2011'!B9</f>
        <v>Landwirtschaftsfläche</v>
      </c>
      <c r="B6" s="20" t="str">
        <f>'2011'!D9</f>
        <v>ha</v>
      </c>
      <c r="C6" s="256">
        <f ca="1">IF($H$2=0,0,INDIRECT(ADDRESS(9,$K$2,,,$H$2)))</f>
        <v>84402</v>
      </c>
      <c r="D6" s="257">
        <f ca="1">IF($J$2=0,0,INDIRECT(ADDRESS(9,$K$2,,,$J$2)))</f>
        <v>82270</v>
      </c>
      <c r="E6" s="247">
        <f t="shared" ca="1" si="0"/>
        <v>-2.5260064927371428E-2</v>
      </c>
      <c r="F6" s="24"/>
      <c r="G6" s="53">
        <f>ROWS($G$3:G6)</f>
        <v>4</v>
      </c>
      <c r="H6" s="57">
        <v>2009</v>
      </c>
      <c r="I6" s="57">
        <v>2009</v>
      </c>
      <c r="J6" s="57"/>
      <c r="K6" s="125"/>
    </row>
    <row r="7" spans="1:12" ht="15" customHeight="1">
      <c r="A7" s="110" t="str">
        <f>'2011'!B10</f>
        <v>Waldfläche</v>
      </c>
      <c r="B7" s="20" t="str">
        <f>'2011'!D10</f>
        <v>ha</v>
      </c>
      <c r="C7" s="256">
        <f ca="1">IF($H$2=0,0,INDIRECT(ADDRESS(10,$K$2,,,$H$2)))</f>
        <v>46271</v>
      </c>
      <c r="D7" s="257">
        <f ca="1">IF($J$2=0,0,INDIRECT(ADDRESS(10,$K$2,,,$J$2)))</f>
        <v>46926</v>
      </c>
      <c r="E7" s="247">
        <f t="shared" ca="1" si="0"/>
        <v>1.415573469343645E-2</v>
      </c>
      <c r="F7" s="24"/>
      <c r="G7" s="53">
        <f>ROWS($G$3:G7)</f>
        <v>5</v>
      </c>
      <c r="H7" s="57">
        <v>2010</v>
      </c>
      <c r="I7" s="57">
        <v>2010</v>
      </c>
      <c r="J7" s="57"/>
    </row>
    <row r="8" spans="1:12" ht="15" customHeight="1">
      <c r="A8" s="110" t="str">
        <f>'2011'!B11</f>
        <v>Wasserfläche</v>
      </c>
      <c r="B8" s="20" t="str">
        <f>'2011'!D11</f>
        <v>ha</v>
      </c>
      <c r="C8" s="256">
        <f ca="1">IF($H$2=0,0,INDIRECT(ADDRESS(11,$K$2,,,$H$2)))</f>
        <v>1185</v>
      </c>
      <c r="D8" s="257">
        <f ca="1">IF($J$2=0,0,INDIRECT(ADDRESS(11,$K$2,,,$J$2)))</f>
        <v>1347</v>
      </c>
      <c r="E8" s="247">
        <f t="shared" ca="1" si="0"/>
        <v>0.13670886075949373</v>
      </c>
      <c r="F8" s="24"/>
      <c r="G8" s="53">
        <f>ROWS($G$3:G8)</f>
        <v>6</v>
      </c>
      <c r="H8" s="57">
        <v>2011</v>
      </c>
      <c r="I8" s="125">
        <v>2011</v>
      </c>
      <c r="J8" s="57"/>
    </row>
    <row r="9" spans="1:12" ht="15" customHeight="1">
      <c r="A9" s="110" t="str">
        <f>'2011'!B12</f>
        <v>Übrige Nutzungsarten</v>
      </c>
      <c r="B9" s="20" t="str">
        <f>'2011'!D12</f>
        <v>ha</v>
      </c>
      <c r="C9" s="256">
        <f ca="1">IF($H$2=0,0,INDIRECT(ADDRESS(12,$K$2,,,$H$2)))</f>
        <v>817</v>
      </c>
      <c r="D9" s="257">
        <f ca="1">IF($J$2=0,0,INDIRECT(ADDRESS(12,$K$2,,,$J$2)))</f>
        <v>962</v>
      </c>
      <c r="E9" s="247">
        <f t="shared" ca="1" si="0"/>
        <v>0.17747858017135854</v>
      </c>
      <c r="F9" s="24"/>
      <c r="G9" s="53">
        <f>ROWS($G$3:G9)</f>
        <v>7</v>
      </c>
      <c r="H9" s="57"/>
      <c r="I9" s="125"/>
      <c r="J9" s="57"/>
    </row>
    <row r="10" spans="1:12" ht="15" customHeight="1">
      <c r="A10" s="18" t="str">
        <f>'2011'!B13</f>
        <v>Wohnbevölkerung</v>
      </c>
      <c r="B10" s="20" t="str">
        <f>'2011'!D13</f>
        <v>Personen</v>
      </c>
      <c r="C10" s="254">
        <f ca="1">IF($H$2=0,0,INDIRECT(ADDRESS(13,$K$2,,,$H$2)))</f>
        <v>186967</v>
      </c>
      <c r="D10" s="255">
        <f ca="1">IF($J$2=0,0,INDIRECT(ADDRESS(13,$K$2,,,$J$2)))</f>
        <v>188420</v>
      </c>
      <c r="E10" s="248">
        <f t="shared" ca="1" si="0"/>
        <v>7.7714249038600691E-3</v>
      </c>
      <c r="G10" s="53">
        <f>ROWS($G$3:G10)</f>
        <v>8</v>
      </c>
      <c r="H10" s="57"/>
      <c r="I10" s="125"/>
      <c r="J10" s="57"/>
    </row>
    <row r="11" spans="1:12" ht="15" customHeight="1" thickBot="1">
      <c r="A11" s="76" t="str">
        <f>'2011'!B14</f>
        <v xml:space="preserve">Bevölkerungsdichte </v>
      </c>
      <c r="B11" s="20" t="str">
        <f>'2011'!D14</f>
        <v>Pers./km²</v>
      </c>
      <c r="C11" s="256">
        <f ca="1">IF($H$2=0,0,INDIRECT(ADDRESS(14,$K$2,,,$H$2)))</f>
        <v>125.98599758764986</v>
      </c>
      <c r="D11" s="257">
        <f ca="1">IF($J$2=0,0,INDIRECT(ADDRESS(14,$K$2,,,$J$2)))</f>
        <v>126.96679941509828</v>
      </c>
      <c r="E11" s="247">
        <f t="shared" ca="1" si="0"/>
        <v>7.7850066374722804E-3</v>
      </c>
      <c r="G11" s="53">
        <f>ROWS($G$3:G11)</f>
        <v>9</v>
      </c>
      <c r="H11" s="57"/>
      <c r="I11" s="125"/>
      <c r="J11" s="57"/>
    </row>
    <row r="12" spans="1:12" ht="18.75" customHeight="1">
      <c r="A12" s="10" t="str">
        <f>'2011'!B15</f>
        <v>Arbeitsmarkt und Wirtschaftsrechnung</v>
      </c>
      <c r="B12" s="12"/>
      <c r="C12" s="13"/>
      <c r="D12" s="135"/>
      <c r="E12" s="16"/>
      <c r="G12" s="53"/>
      <c r="H12" s="57"/>
      <c r="I12" s="125"/>
      <c r="J12" s="57"/>
    </row>
    <row r="13" spans="1:12" ht="15" customHeight="1">
      <c r="A13" s="18" t="str">
        <f>'2011'!B16</f>
        <v>Erwerbstätige (am Arbeitsort) insg.</v>
      </c>
      <c r="B13" s="20" t="str">
        <f>'2011'!D16</f>
        <v>Personen</v>
      </c>
      <c r="C13" s="254">
        <f ca="1">IF($H$2=0,0,INDIRECT(ADDRESS(16,$K$2,,,$H$2)))</f>
        <v>91707</v>
      </c>
      <c r="D13" s="255">
        <f ca="1">IF($J$2=0,0,INDIRECT(ADDRESS(16,$K$2,,,$J$2)))</f>
        <v>95400</v>
      </c>
      <c r="E13" s="248">
        <f t="shared" ca="1" si="0"/>
        <v>4.026955412345834E-2</v>
      </c>
      <c r="G13" s="54">
        <f>ROWS($G$3:G13)</f>
        <v>11</v>
      </c>
      <c r="H13" s="58"/>
      <c r="I13" s="130"/>
      <c r="J13" s="58"/>
    </row>
    <row r="14" spans="1:12" ht="15" customHeight="1">
      <c r="A14" s="76" t="str">
        <f>'2011'!B17</f>
        <v>Arbeitslosenquote (Jahresdurchschn.) 2)</v>
      </c>
      <c r="B14" s="20" t="str">
        <f>'2011'!D17</f>
        <v>%</v>
      </c>
      <c r="C14" s="252">
        <f ca="1">IF($H$2=0,0,INDIRECT(ADDRESS(17,$K$2,,,$H$2)))</f>
        <v>4.5999999999999996</v>
      </c>
      <c r="D14" s="253">
        <f ca="1">IF($J$2=0,0,INDIRECT(ADDRESS(17,$K$2,,,$J$2)))</f>
        <v>3.5</v>
      </c>
      <c r="E14" s="247">
        <f t="shared" ca="1" si="0"/>
        <v>-0.23913043478260865</v>
      </c>
      <c r="F14" s="24"/>
      <c r="G14" s="125"/>
      <c r="H14" s="125"/>
      <c r="I14" s="125"/>
    </row>
    <row r="15" spans="1:12" ht="15" customHeight="1">
      <c r="A15" s="76" t="str">
        <f>'2011'!B18</f>
        <v>Arbeitskräfte i.d. Landwirtschaft</v>
      </c>
      <c r="B15" s="20" t="str">
        <f>'2011'!D18</f>
        <v>Personen</v>
      </c>
      <c r="C15" s="256">
        <f ca="1">IF($H$2=0,0,INDIRECT(ADDRESS(18,$K$2,,,$H$2)))</f>
        <v>7746</v>
      </c>
      <c r="D15" s="257">
        <f ca="1">IF($J$2=0,0,INDIRECT(ADDRESS(18,$K$2,,,$J$2)))</f>
        <v>5542</v>
      </c>
      <c r="E15" s="247">
        <f ca="1">IF(ISERROR(D15/C15)=TRUE,0,D15/C15-1)</f>
        <v>-0.2845339530080041</v>
      </c>
      <c r="F15" s="24"/>
      <c r="G15" s="125"/>
      <c r="H15" s="125"/>
      <c r="I15" s="125"/>
    </row>
    <row r="16" spans="1:12" ht="15" customHeight="1">
      <c r="A16" s="76" t="str">
        <f>'2011'!B19</f>
        <v>Sozialversicherungspflichtigte Beschäftigte</v>
      </c>
      <c r="B16" s="20" t="str">
        <f>'2011'!D19</f>
        <v>Personen</v>
      </c>
      <c r="C16" s="256">
        <f ca="1">IF($H$2=0,0,INDIRECT(ADDRESS(19,$K$2,,,$H$2)))</f>
        <v>580</v>
      </c>
      <c r="D16" s="257">
        <f ca="1">IF($J$2=0,0,INDIRECT(ADDRESS(19,$K$2,,,$J$2)))</f>
        <v>403</v>
      </c>
      <c r="E16" s="247">
        <f ca="1">IF(ISERROR(D16/C16)=TRUE,0,D16/C16-1)</f>
        <v>-0.30517241379310345</v>
      </c>
      <c r="F16" s="24"/>
      <c r="G16" s="125"/>
      <c r="H16" s="125"/>
      <c r="I16" s="125"/>
    </row>
    <row r="17" spans="1:9" ht="15" customHeight="1">
      <c r="A17" s="18" t="str">
        <f>'2011'!B20</f>
        <v>Bruttowertschöpfung insgesamt</v>
      </c>
      <c r="B17" s="20" t="str">
        <f>'2011'!D20</f>
        <v>Mrd. €</v>
      </c>
      <c r="C17" s="250">
        <f ca="1">IF($H$2=0,0,INDIRECT(ADDRESS(20,$K$2,,,$H$2)))</f>
        <v>4.4610000000000003</v>
      </c>
      <c r="D17" s="251">
        <f ca="1">IF($J$2=0,0,INDIRECT(ADDRESS(20,$K$2,,,$J$2)))</f>
        <v>5.4029999999999996</v>
      </c>
      <c r="E17" s="248">
        <f t="shared" ca="1" si="0"/>
        <v>0.21116341627437785</v>
      </c>
      <c r="G17" s="125"/>
      <c r="H17" s="125"/>
      <c r="I17" s="125"/>
    </row>
    <row r="18" spans="1:9" ht="15" customHeight="1" thickBot="1">
      <c r="A18" s="76" t="str">
        <f>'2011'!B21</f>
        <v>Anteil der Land- und Forstwirtschaft</v>
      </c>
      <c r="B18" s="20" t="str">
        <f>'2011'!D21</f>
        <v>%</v>
      </c>
      <c r="C18" s="252">
        <f ca="1">IF($H$2=0,0,INDIRECT(ADDRESS(21,$K$2,,,$H$2)))</f>
        <v>3.0038108047522978</v>
      </c>
      <c r="D18" s="253">
        <f ca="1">IF($J$2=0,0,INDIRECT(ADDRESS(21,$K$2,,,$J$2)))</f>
        <v>1.5546918378678514</v>
      </c>
      <c r="E18" s="247">
        <f t="shared" ca="1" si="0"/>
        <v>-0.48242684412473991</v>
      </c>
      <c r="G18" s="125"/>
      <c r="H18" s="125"/>
      <c r="I18" s="125"/>
    </row>
    <row r="19" spans="1:9" s="17" customFormat="1" ht="18.75" customHeight="1">
      <c r="A19" s="10" t="s">
        <v>70</v>
      </c>
      <c r="B19" s="12"/>
      <c r="C19" s="150"/>
      <c r="D19" s="146"/>
      <c r="E19" s="152"/>
      <c r="F19" s="7"/>
      <c r="G19" s="125"/>
      <c r="H19" s="125"/>
      <c r="I19" s="126"/>
    </row>
    <row r="20" spans="1:9" ht="15" customHeight="1">
      <c r="A20" s="18" t="str">
        <f>'2011'!B23</f>
        <v>Landwirtschaftl. Betriebe insgesamt</v>
      </c>
      <c r="B20" s="20" t="str">
        <f>'2011'!D23</f>
        <v>Anzahl</v>
      </c>
      <c r="C20" s="254">
        <f ca="1">IF($H$2=0,0,INDIRECT(ADDRESS(23,$K$2,,,$H$2)))</f>
        <v>3026</v>
      </c>
      <c r="D20" s="261">
        <f ca="1">IF($J$2=0,0,INDIRECT(ADDRESS(23,$K$2,,,$J$2)))</f>
        <v>2031</v>
      </c>
      <c r="E20" s="248">
        <f t="shared" ref="E20:E30" ca="1" si="1">IF(ISERROR(D20/C20)=TRUE,0,D20/C20-1)</f>
        <v>-0.32881692002643759</v>
      </c>
      <c r="G20" s="125"/>
      <c r="H20" s="125"/>
      <c r="I20" s="125"/>
    </row>
    <row r="21" spans="1:9" ht="15" customHeight="1">
      <c r="A21" s="109" t="str">
        <f>'2011'!B24</f>
        <v>davon in Betrieben unter 5 ha</v>
      </c>
      <c r="B21" s="20" t="str">
        <f>'2011'!D24</f>
        <v>Anzahl</v>
      </c>
      <c r="C21" s="256">
        <f ca="1">IF($H$2=0,0,INDIRECT(ADDRESS(24,$K$2,,,$H$2)))</f>
        <v>510</v>
      </c>
      <c r="D21" s="262">
        <f ca="1">IF($J$2=0,0,INDIRECT(ADDRESS(24,$K$2,,,$J$2)))</f>
        <v>63</v>
      </c>
      <c r="E21" s="247">
        <f t="shared" ca="1" si="1"/>
        <v>-0.87647058823529411</v>
      </c>
      <c r="G21" s="125"/>
      <c r="H21" s="125"/>
      <c r="I21" s="125"/>
    </row>
    <row r="22" spans="1:9" ht="15" customHeight="1">
      <c r="A22" s="294" t="str">
        <f>'2011'!B25</f>
        <v>5 bis unter 10 ha</v>
      </c>
      <c r="B22" s="20" t="str">
        <f>'2011'!D25</f>
        <v>Anzahl</v>
      </c>
      <c r="C22" s="256">
        <f ca="1">IF($H$2=0,0,INDIRECT(ADDRESS(25,$K$2,,,$H$2)))</f>
        <v>459</v>
      </c>
      <c r="D22" s="262">
        <f ca="1">IF($J$2=0,0,INDIRECT(ADDRESS(25,$K$2,,,$J$2)))</f>
        <v>300</v>
      </c>
      <c r="E22" s="247">
        <f t="shared" ca="1" si="1"/>
        <v>-0.34640522875816993</v>
      </c>
      <c r="G22" s="125"/>
      <c r="H22" s="125"/>
      <c r="I22" s="125"/>
    </row>
    <row r="23" spans="1:9" ht="15" customHeight="1">
      <c r="A23" s="294" t="str">
        <f>'2011'!B26</f>
        <v>10 bis unter 20 ha</v>
      </c>
      <c r="B23" s="20" t="str">
        <f>'2011'!D26</f>
        <v>Anzahl</v>
      </c>
      <c r="C23" s="256">
        <f ca="1">IF($H$2=0,0,INDIRECT(ADDRESS(26,$K$2,,,$H$2)))</f>
        <v>648</v>
      </c>
      <c r="D23" s="262">
        <f ca="1">IF($J$2=0,0,INDIRECT(ADDRESS(26,$K$2,,,$J$2)))</f>
        <v>450</v>
      </c>
      <c r="E23" s="247">
        <f t="shared" ca="1" si="1"/>
        <v>-0.30555555555555558</v>
      </c>
      <c r="G23" s="125"/>
      <c r="H23" s="125"/>
      <c r="I23" s="125"/>
    </row>
    <row r="24" spans="1:9" ht="15" customHeight="1">
      <c r="A24" s="294" t="str">
        <f>'2011'!B27</f>
        <v>20 bis unter 50 ha</v>
      </c>
      <c r="B24" s="20" t="str">
        <f>'2011'!D27</f>
        <v>Anzahl</v>
      </c>
      <c r="C24" s="256">
        <f ca="1">IF($H$2=0,0,INDIRECT(ADDRESS(27,$K$2,,,$H$2)))</f>
        <v>964</v>
      </c>
      <c r="D24" s="262">
        <f ca="1">IF($J$2=0,0,INDIRECT(ADDRESS(27,$K$2,,,$J$2)))</f>
        <v>656</v>
      </c>
      <c r="E24" s="247">
        <f t="shared" ca="1" si="1"/>
        <v>-0.31950207468879666</v>
      </c>
      <c r="G24" s="125"/>
      <c r="H24" s="125"/>
      <c r="I24" s="125"/>
    </row>
    <row r="25" spans="1:9" ht="15" customHeight="1">
      <c r="A25" s="294" t="str">
        <f>'2011'!B28</f>
        <v>50 bis unter 100 ha</v>
      </c>
      <c r="B25" s="20" t="str">
        <f>'2011'!D28</f>
        <v>Anzahl</v>
      </c>
      <c r="C25" s="256">
        <f ca="1">IF($H$2=0,0,INDIRECT(ADDRESS(28,$K$2,,,$H$2)))</f>
        <v>401</v>
      </c>
      <c r="D25" s="262">
        <f ca="1">IF($J$2=0,0,INDIRECT(ADDRESS(28,$K$2,,,$J$2)))</f>
        <v>457</v>
      </c>
      <c r="E25" s="247">
        <f t="shared" ca="1" si="1"/>
        <v>0.13965087281795507</v>
      </c>
      <c r="G25" s="125"/>
      <c r="H25" s="125"/>
      <c r="I25" s="125"/>
    </row>
    <row r="26" spans="1:9" ht="15" customHeight="1">
      <c r="A26" s="294" t="str">
        <f>'2011'!B29</f>
        <v>100 und mehr ha LF</v>
      </c>
      <c r="B26" s="20" t="str">
        <f>'2011'!D29</f>
        <v>Anzahl</v>
      </c>
      <c r="C26" s="256">
        <f ca="1">IF($H$2=0,0,INDIRECT(ADDRESS(29,$K$2,,,$H$2)))</f>
        <v>44</v>
      </c>
      <c r="D26" s="262">
        <f ca="1">IF($J$2=0,0,INDIRECT(ADDRESS(29,$K$2,,,$J$2)))</f>
        <v>105</v>
      </c>
      <c r="E26" s="247">
        <f t="shared" ca="1" si="1"/>
        <v>1.3863636363636362</v>
      </c>
      <c r="G26" s="125"/>
      <c r="H26" s="125"/>
      <c r="I26" s="125"/>
    </row>
    <row r="27" spans="1:9" ht="15" customHeight="1">
      <c r="A27" s="18" t="str">
        <f>'2011'!B30</f>
        <v>Ø Betriebsgröße (alle Betriebe)</v>
      </c>
      <c r="B27" s="20" t="str">
        <f>'2011'!D30</f>
        <v>ha</v>
      </c>
      <c r="C27" s="250">
        <f ca="1">IF($H$2=0,0,INDIRECT(ADDRESS(30,$K$2,,,$H$2)))</f>
        <v>25.957699933906145</v>
      </c>
      <c r="D27" s="258">
        <f ca="1">IF($J$2=0,0,INDIRECT(ADDRESS(30,$K$2,,,$J$2)))</f>
        <v>37.588872476612508</v>
      </c>
      <c r="E27" s="248">
        <f t="shared" ca="1" si="1"/>
        <v>0.4480817858408801</v>
      </c>
      <c r="G27" s="125"/>
      <c r="H27" s="125"/>
      <c r="I27" s="125"/>
    </row>
    <row r="28" spans="1:9" ht="15" customHeight="1">
      <c r="A28" s="139" t="s">
        <v>277</v>
      </c>
      <c r="B28" s="32" t="str">
        <f>'2011'!D31</f>
        <v>%</v>
      </c>
      <c r="C28" s="256">
        <f ca="1">IF($H$2=0,0,INDIRECT(ADDRESS(31,$K$2,,,$H$2)))</f>
        <v>-29.345689413086205</v>
      </c>
      <c r="D28" s="257">
        <f ca="1">IF($J$2=0,0,INDIRECT(ADDRESS(31,$K$2,,,$J$2)))</f>
        <v>-21.78060413354531</v>
      </c>
      <c r="E28" s="247"/>
      <c r="G28" s="125"/>
      <c r="H28" s="125"/>
      <c r="I28" s="125"/>
    </row>
    <row r="29" spans="1:9" ht="15" customHeight="1">
      <c r="A29" s="33" t="str">
        <f>'2011'!B32</f>
        <v>Betriebsinhaber im Haupterwerb</v>
      </c>
      <c r="B29" s="32" t="str">
        <f>'2011'!D32</f>
        <v>%</v>
      </c>
      <c r="C29" s="254">
        <f ca="1">IF($H$2=0,0,INDIRECT(ADDRESS(32,$K$2,,,$H$2)))</f>
        <v>47</v>
      </c>
      <c r="D29" s="255">
        <f ca="1">IF($J$2=0,0,INDIRECT(ADDRESS(32,$K$2,,,$J$2)))</f>
        <v>47</v>
      </c>
      <c r="E29" s="248">
        <f t="shared" ca="1" si="1"/>
        <v>0</v>
      </c>
      <c r="G29" s="125"/>
      <c r="H29" s="125"/>
      <c r="I29" s="125"/>
    </row>
    <row r="30" spans="1:9" ht="15" customHeight="1" thickBot="1">
      <c r="A30" s="137" t="str">
        <f>'2011'!B33</f>
        <v>im Nebenerwerb</v>
      </c>
      <c r="B30" s="35" t="str">
        <f>'2011'!D33</f>
        <v>%</v>
      </c>
      <c r="C30" s="263">
        <f ca="1">IF($H$2=0,0,INDIRECT(ADDRESS(33,$K$2,,,$H$2)))</f>
        <v>53</v>
      </c>
      <c r="D30" s="264">
        <f ca="1">IF($J$2=0,0,INDIRECT(ADDRESS(33,$K$2,,,$J$2)))</f>
        <v>53</v>
      </c>
      <c r="E30" s="247">
        <f t="shared" ca="1" si="1"/>
        <v>0</v>
      </c>
      <c r="G30" s="125"/>
      <c r="H30" s="125"/>
      <c r="I30" s="125"/>
    </row>
    <row r="31" spans="1:9" ht="18.75" customHeight="1">
      <c r="A31" s="10" t="s">
        <v>73</v>
      </c>
      <c r="B31" s="37"/>
      <c r="C31" s="150"/>
      <c r="D31" s="146"/>
      <c r="E31" s="152"/>
      <c r="G31" s="125"/>
      <c r="H31" s="125"/>
      <c r="I31" s="125"/>
    </row>
    <row r="32" spans="1:9" ht="15" customHeight="1">
      <c r="A32" s="138" t="str">
        <f>'2011'!B35</f>
        <v xml:space="preserve">Landwirtschaftlich gen. Fläche (LF)   </v>
      </c>
      <c r="B32" s="36" t="str">
        <f>'2011'!D35</f>
        <v>ha</v>
      </c>
      <c r="C32" s="254">
        <f ca="1">IF($H$2=0,0,INDIRECT(ADDRESS(35,$K$2,,,$H$2)))</f>
        <v>78548</v>
      </c>
      <c r="D32" s="255">
        <f ca="1">IF($J$2=0,0,INDIRECT(ADDRESS(35,$K$2,,,$J$2)))</f>
        <v>76343</v>
      </c>
      <c r="E32" s="248">
        <f ca="1">IF(ISERROR(D32/C32)=TRUE,0,D32/C32-1)</f>
        <v>-2.8072006925701443E-2</v>
      </c>
      <c r="G32" s="125"/>
      <c r="H32" s="125"/>
      <c r="I32" s="125"/>
    </row>
    <row r="33" spans="1:9" ht="15" customHeight="1">
      <c r="A33" s="139" t="str">
        <f>'2011'!B36</f>
        <v>davon Ackerland</v>
      </c>
      <c r="B33" s="36" t="str">
        <f>'2011'!D36</f>
        <v>ha</v>
      </c>
      <c r="C33" s="256">
        <f ca="1">IF($H$2=0,0,INDIRECT(ADDRESS(36,$K$2,,,$H$2)))</f>
        <v>50062</v>
      </c>
      <c r="D33" s="257">
        <f ca="1">IF($J$2=0,0,INDIRECT(ADDRESS(36,$K$2,,,$J$2)))</f>
        <v>50614</v>
      </c>
      <c r="E33" s="247">
        <f ca="1">IF(ISERROR(D33/C33)=TRUE,0,D33/C33-1)</f>
        <v>1.1026327354080934E-2</v>
      </c>
      <c r="G33" s="125"/>
      <c r="H33" s="125"/>
      <c r="I33" s="125"/>
    </row>
    <row r="34" spans="1:9" ht="15" customHeight="1">
      <c r="A34" s="140" t="str">
        <f>'2011'!B37</f>
        <v>Dauergrünland</v>
      </c>
      <c r="B34" s="36" t="str">
        <f>'2011'!D37</f>
        <v>ha</v>
      </c>
      <c r="C34" s="256">
        <f ca="1">IF($H$2=0,0,INDIRECT(ADDRESS(37,$K$2,,,$H$2)))</f>
        <v>28233</v>
      </c>
      <c r="D34" s="257">
        <f ca="1">IF($J$2=0,0,INDIRECT(ADDRESS(37,$K$2,,,$J$2)))</f>
        <v>25496</v>
      </c>
      <c r="E34" s="247">
        <f ca="1">IF(ISERROR(D34/C34)=TRUE,0,D34/C34-1)</f>
        <v>-9.6943293309248002E-2</v>
      </c>
      <c r="G34" s="125"/>
      <c r="H34" s="125"/>
      <c r="I34" s="125"/>
    </row>
    <row r="35" spans="1:9" ht="15" customHeight="1">
      <c r="A35" s="140" t="str">
        <f>'2011'!B38</f>
        <v>Baum- und Beerenobst</v>
      </c>
      <c r="B35" s="36" t="str">
        <f>'2011'!D38</f>
        <v>ha</v>
      </c>
      <c r="C35" s="256">
        <f ca="1">IF($H$2=0,0,INDIRECT(ADDRESS(38,$K$2,,,$H$2)))</f>
        <v>150</v>
      </c>
      <c r="D35" s="257">
        <f ca="1">IF($J$2=0,0,INDIRECT(ADDRESS(38,$K$2,,,$J$2)))</f>
        <v>159</v>
      </c>
      <c r="E35" s="247">
        <f ca="1">IF(ISERROR(D35/C35)=TRUE,0,D35/C35-1)</f>
        <v>6.0000000000000053E-2</v>
      </c>
      <c r="G35" s="125"/>
      <c r="H35" s="125"/>
      <c r="I35" s="125"/>
    </row>
    <row r="36" spans="1:9" ht="15" customHeight="1" thickBot="1">
      <c r="A36" s="140" t="str">
        <f>'2011'!B39</f>
        <v>Rebflächen</v>
      </c>
      <c r="B36" s="36" t="str">
        <f>'2011'!D39</f>
        <v>ha</v>
      </c>
      <c r="C36" s="256" t="str">
        <f ca="1">IF($H$2=0,0,INDIRECT(ADDRESS(39,$K$2,,,$H$2)))</f>
        <v>*</v>
      </c>
      <c r="D36" s="257" t="str">
        <f ca="1">IF($J$2=0,0,INDIRECT(ADDRESS(39,$K$2,,,$J$2)))</f>
        <v>*</v>
      </c>
      <c r="E36" s="247">
        <f ca="1">IF(ISERROR(D36/C36)=TRUE,0,D36/C36-1)</f>
        <v>0</v>
      </c>
      <c r="G36" s="125"/>
      <c r="H36" s="125"/>
      <c r="I36" s="125"/>
    </row>
    <row r="37" spans="1:9" ht="18.75" customHeight="1">
      <c r="A37" s="10" t="s">
        <v>77</v>
      </c>
      <c r="B37" s="37"/>
      <c r="C37" s="150"/>
      <c r="D37" s="146"/>
      <c r="E37" s="152"/>
      <c r="G37" s="125"/>
      <c r="H37" s="125"/>
      <c r="I37" s="125"/>
    </row>
    <row r="38" spans="1:9" ht="15" customHeight="1">
      <c r="A38" s="33" t="str">
        <f>'2011'!B41</f>
        <v xml:space="preserve">Rinder    </v>
      </c>
      <c r="B38" s="32" t="str">
        <f>'2011'!D41</f>
        <v>Tiere</v>
      </c>
      <c r="C38" s="254">
        <f ca="1">IF($H$2=0,0,INDIRECT(ADDRESS(41,$K$2,,,$H$2)))</f>
        <v>77119</v>
      </c>
      <c r="D38" s="261">
        <f ca="1">IF($J$2=0,0,INDIRECT(ADDRESS(41,$K$2,,,$J$2)))</f>
        <v>66666</v>
      </c>
      <c r="E38" s="248">
        <f t="shared" ref="E38:E49" ca="1" si="2">IF(ISERROR(D38/C38)=TRUE,0,D38/C38-1)</f>
        <v>-0.13554377001776474</v>
      </c>
      <c r="G38" s="125"/>
      <c r="H38" s="125"/>
      <c r="I38" s="125"/>
    </row>
    <row r="39" spans="1:9" ht="15" customHeight="1">
      <c r="A39" s="112" t="str">
        <f>'2011'!B42</f>
        <v>darunter Milchkühe</v>
      </c>
      <c r="B39" s="32" t="str">
        <f>'2011'!D42</f>
        <v>Tiere</v>
      </c>
      <c r="C39" s="256">
        <f ca="1">IF($H$2=0,0,INDIRECT(ADDRESS(42,$K$2,,,$H$2)))</f>
        <v>24592</v>
      </c>
      <c r="D39" s="262">
        <f ca="1">IF($J$2=0,0,INDIRECT(ADDRESS(42,$K$2,,,$J$2)))</f>
        <v>21941</v>
      </c>
      <c r="E39" s="247">
        <f t="shared" ca="1" si="2"/>
        <v>-0.10779928432010411</v>
      </c>
      <c r="G39" s="125"/>
      <c r="H39" s="125"/>
      <c r="I39" s="125"/>
    </row>
    <row r="40" spans="1:9" ht="15" customHeight="1">
      <c r="A40" s="112" t="str">
        <f>'2011'!B43</f>
        <v>darunter andere Kühe (Mutterkühe)</v>
      </c>
      <c r="B40" s="32" t="str">
        <f>'2011'!D43</f>
        <v>Tiere</v>
      </c>
      <c r="C40" s="256">
        <f ca="1">IF($H$2=0,0,INDIRECT(ADDRESS(43,$K$2,,,$H$2)))</f>
        <v>3809</v>
      </c>
      <c r="D40" s="262">
        <f ca="1">IF($J$2=0,0,INDIRECT(ADDRESS(43,$K$2,,,$J$2)))</f>
        <v>3189</v>
      </c>
      <c r="E40" s="247">
        <f t="shared" ca="1" si="2"/>
        <v>-0.16277238120241533</v>
      </c>
      <c r="G40" s="125"/>
      <c r="H40" s="125"/>
      <c r="I40" s="125"/>
    </row>
    <row r="41" spans="1:9" ht="15" customHeight="1">
      <c r="A41" s="112" t="str">
        <f>'2011'!B44</f>
        <v>Durchschnittsbestand Milchkühe</v>
      </c>
      <c r="B41" s="32" t="str">
        <f>'2011'!D44</f>
        <v>Tiere/Halter</v>
      </c>
      <c r="C41" s="256">
        <f ca="1">IF($H$2=0,0,INDIRECT(ADDRESS(44,$K$2,,,$H$2)))</f>
        <v>21.3</v>
      </c>
      <c r="D41" s="262">
        <f ca="1">IF($J$2=0,0,INDIRECT(ADDRESS(44,$K$2,,,$J$2)))</f>
        <v>31.660894660894662</v>
      </c>
      <c r="E41" s="247">
        <f t="shared" ca="1" si="2"/>
        <v>0.48642697938472579</v>
      </c>
      <c r="G41" s="125"/>
      <c r="H41" s="125"/>
      <c r="I41" s="125"/>
    </row>
    <row r="42" spans="1:9" ht="15" customHeight="1">
      <c r="A42" s="33" t="str">
        <f>'2011'!B45</f>
        <v>Schweine</v>
      </c>
      <c r="B42" s="32" t="str">
        <f>'2011'!D45</f>
        <v>Tiere</v>
      </c>
      <c r="C42" s="254">
        <f ca="1">IF($H$2=0,0,INDIRECT(ADDRESS(45,$K$2,,,$H$2)))</f>
        <v>475716</v>
      </c>
      <c r="D42" s="261">
        <f ca="1">IF($J$2=0,0,INDIRECT(ADDRESS(45,$K$2,,,$J$2)))</f>
        <v>475187</v>
      </c>
      <c r="E42" s="248">
        <f t="shared" ca="1" si="2"/>
        <v>-1.1120080047759551E-3</v>
      </c>
      <c r="G42" s="125"/>
      <c r="H42" s="125"/>
      <c r="I42" s="125"/>
    </row>
    <row r="43" spans="1:9" ht="15" customHeight="1">
      <c r="A43" s="112" t="str">
        <f>'2011'!B46</f>
        <v>darunter Zuchtsauen</v>
      </c>
      <c r="B43" s="32" t="str">
        <f>'2011'!D46</f>
        <v>Tiere</v>
      </c>
      <c r="C43" s="256">
        <f ca="1">IF($H$2=0,0,INDIRECT(ADDRESS(46,$K$2,,,$H$2)))</f>
        <v>76117</v>
      </c>
      <c r="D43" s="262">
        <f ca="1">IF($J$2=0,0,INDIRECT(ADDRESS(46,$K$2,,,$J$2)))</f>
        <v>58271</v>
      </c>
      <c r="E43" s="247">
        <f t="shared" ca="1" si="2"/>
        <v>-0.23445485239828157</v>
      </c>
      <c r="G43" s="125"/>
      <c r="H43" s="125"/>
      <c r="I43" s="125"/>
    </row>
    <row r="44" spans="1:9" ht="15" customHeight="1">
      <c r="A44" s="112" t="str">
        <f>'2011'!B47</f>
        <v>Durchschnittsbestand Mastschweine</v>
      </c>
      <c r="B44" s="32" t="str">
        <f>'2011'!D47</f>
        <v>Tiere/Halter</v>
      </c>
      <c r="C44" s="256">
        <f ca="1">IF($H$2=0,0,INDIRECT(ADDRESS(47,$K$2,,,$H$2)))</f>
        <v>154.63176265270505</v>
      </c>
      <c r="D44" s="262">
        <f ca="1">IF($J$2=0,0,INDIRECT(ADDRESS(47,$K$2,,,$J$2)))</f>
        <v>227.08178844056707</v>
      </c>
      <c r="E44" s="247">
        <f t="shared" ca="1" si="2"/>
        <v>0.46853262580069677</v>
      </c>
      <c r="G44" s="125"/>
      <c r="H44" s="125"/>
      <c r="I44" s="125"/>
    </row>
    <row r="45" spans="1:9" ht="15" customHeight="1">
      <c r="A45" s="33" t="str">
        <f>'2011'!B48</f>
        <v>Einhufer (Pferde)</v>
      </c>
      <c r="B45" s="32" t="str">
        <f>'2011'!D48</f>
        <v>Tiere</v>
      </c>
      <c r="C45" s="254">
        <f ca="1">IF($H$2=0,0,INDIRECT(ADDRESS(48,$K$2,,,$H$2)))</f>
        <v>1686</v>
      </c>
      <c r="D45" s="261">
        <f ca="1">IF($J$2=0,0,INDIRECT(ADDRESS(48,$K$2,,,$J$2)))</f>
        <v>1449</v>
      </c>
      <c r="E45" s="248">
        <f t="shared" ca="1" si="2"/>
        <v>-0.14056939501779364</v>
      </c>
      <c r="G45" s="125"/>
      <c r="H45" s="125"/>
      <c r="I45" s="125"/>
    </row>
    <row r="46" spans="1:9" ht="15" customHeight="1">
      <c r="A46" s="33" t="str">
        <f>'2011'!B49</f>
        <v>Schafe</v>
      </c>
      <c r="B46" s="32" t="str">
        <f>'2011'!D49</f>
        <v>Tiere</v>
      </c>
      <c r="C46" s="254">
        <f ca="1">IF($H$2=0,0,INDIRECT(ADDRESS(49,$K$2,,,$H$2)))</f>
        <v>10870</v>
      </c>
      <c r="D46" s="261">
        <f ca="1">IF($J$2=0,0,INDIRECT(ADDRESS(49,$K$2,,,$J$2)))</f>
        <v>11329</v>
      </c>
      <c r="E46" s="248">
        <f t="shared" ca="1" si="2"/>
        <v>4.2226310947562018E-2</v>
      </c>
      <c r="G46" s="125"/>
      <c r="H46" s="125"/>
      <c r="I46" s="125"/>
    </row>
    <row r="47" spans="1:9" ht="15" customHeight="1">
      <c r="A47" s="33" t="str">
        <f>'2011'!B50</f>
        <v>Großvieheinheiten</v>
      </c>
      <c r="B47" s="32" t="str">
        <f>'2011'!D50</f>
        <v>GV/100 ha LF</v>
      </c>
      <c r="C47" s="254">
        <f ca="1">IF($H$2=0,0,INDIRECT(ADDRESS(50,$K$2,,,$H$2)))</f>
        <v>134</v>
      </c>
      <c r="D47" s="261">
        <f ca="1">IF($J$2=0,0,INDIRECT(ADDRESS(50,$K$2,,,$J$2)))</f>
        <v>130</v>
      </c>
      <c r="E47" s="248">
        <f t="shared" ca="1" si="2"/>
        <v>-2.9850746268656692E-2</v>
      </c>
      <c r="G47" s="125"/>
      <c r="H47" s="125"/>
      <c r="I47" s="125"/>
    </row>
    <row r="48" spans="1:9" ht="15" customHeight="1">
      <c r="A48" s="112" t="str">
        <f>'2011'!B51</f>
        <v>Milchleistung</v>
      </c>
      <c r="B48" s="32" t="str">
        <f>'2011'!D51</f>
        <v>kg/Jahr</v>
      </c>
      <c r="C48" s="256">
        <f ca="1">IF($H$2=0,0,INDIRECT(ADDRESS(51,$K$2,,,$H$2)))</f>
        <v>5799</v>
      </c>
      <c r="D48" s="268">
        <f ca="1">IF($J$2=0,0,INDIRECT(ADDRESS(51,$K$2,,,$J$2)))</f>
        <v>6157</v>
      </c>
      <c r="E48" s="247">
        <f t="shared" ca="1" si="2"/>
        <v>6.1734781858941101E-2</v>
      </c>
      <c r="F48" s="24"/>
      <c r="G48" s="125"/>
      <c r="H48" s="125"/>
      <c r="I48" s="125"/>
    </row>
    <row r="49" spans="1:9" ht="15" customHeight="1">
      <c r="A49" s="112" t="str">
        <f>'2011'!B52</f>
        <v>Milchanlieferung an die Molkereien</v>
      </c>
      <c r="B49" s="32" t="str">
        <f>'2011'!D52</f>
        <v>t</v>
      </c>
      <c r="C49" s="256">
        <f ca="1">IF($H$2=0,0,INDIRECT(ADDRESS(52,$K$2,,,$H$2)))</f>
        <v>135411</v>
      </c>
      <c r="D49" s="262">
        <f ca="1">IF($J$2=0,0,INDIRECT(ADDRESS(52,$K$2,,,$J$2)))</f>
        <v>135140</v>
      </c>
      <c r="E49" s="247">
        <f t="shared" ca="1" si="2"/>
        <v>-2.0013145165459489E-3</v>
      </c>
      <c r="F49" s="24"/>
      <c r="G49" s="125"/>
      <c r="H49" s="125"/>
      <c r="I49" s="125"/>
    </row>
    <row r="50" spans="1:9" ht="15" customHeight="1">
      <c r="A50" s="112" t="s">
        <v>279</v>
      </c>
      <c r="B50" s="32" t="str">
        <f>'2011'!D53</f>
        <v>%</v>
      </c>
      <c r="C50" s="265">
        <f ca="1">IF($H$2=0,0,INDIRECT(ADDRESS(53,$K$2,,,$H$2)))</f>
        <v>7.509150238581058</v>
      </c>
      <c r="D50" s="253">
        <f ca="1">IF($J$2=0,0,INDIRECT(ADDRESS(53,$K$2,,,$J$2)))</f>
        <v>-0.20013145165459234</v>
      </c>
      <c r="E50" s="247"/>
      <c r="F50" s="24"/>
      <c r="G50" s="125"/>
      <c r="H50" s="125"/>
      <c r="I50" s="125"/>
    </row>
    <row r="51" spans="1:9" ht="15" customHeight="1" thickBot="1">
      <c r="A51" s="116" t="s">
        <v>280</v>
      </c>
      <c r="B51" s="117" t="str">
        <f>'2011'!D54</f>
        <v>%</v>
      </c>
      <c r="C51" s="266">
        <f ca="1">IF($H$2=0,0,INDIRECT(ADDRESS(54,$K$2,,,$H$2)))</f>
        <v>-27.481999999999999</v>
      </c>
      <c r="D51" s="267">
        <f ca="1">IF($J$2=0,0,INDIRECT(ADDRESS(54,$K$2,,,$J$2)))</f>
        <v>-12.271000000000001</v>
      </c>
      <c r="E51" s="283"/>
      <c r="F51" s="24"/>
      <c r="G51" s="125"/>
      <c r="H51" s="125"/>
      <c r="I51" s="125"/>
    </row>
    <row r="52" spans="1:9" ht="18.75" customHeight="1" thickTop="1">
      <c r="A52" s="40" t="s">
        <v>227</v>
      </c>
      <c r="B52" s="42"/>
      <c r="C52" s="151"/>
      <c r="D52" s="285"/>
      <c r="E52" s="284"/>
      <c r="G52" s="125"/>
      <c r="H52" s="125"/>
      <c r="I52" s="125"/>
    </row>
    <row r="53" spans="1:9" ht="15" customHeight="1">
      <c r="A53" s="112" t="str">
        <f>'2011'!B56</f>
        <v xml:space="preserve"> Naturschutzgebiete</v>
      </c>
      <c r="B53" s="32" t="str">
        <f>'2011'!D56</f>
        <v>Anzahl</v>
      </c>
      <c r="C53" s="269">
        <f ca="1">IF($H$2=0,0,INDIRECT(ADDRESS(56,$K$2,,,$H$2)))</f>
        <v>18</v>
      </c>
      <c r="D53" s="277">
        <f ca="1">IF($J$2=0,0,INDIRECT(ADDRESS(56,$K$2,,,$J$2)))</f>
        <v>18</v>
      </c>
      <c r="E53" s="247">
        <f t="shared" ref="E53:E60" ca="1" si="3">IF(ISERROR(D53/C53)=TRUE,0,D53/C53-1)</f>
        <v>0</v>
      </c>
      <c r="G53" s="125"/>
      <c r="H53" s="125"/>
      <c r="I53" s="125"/>
    </row>
    <row r="54" spans="1:9" ht="15" customHeight="1">
      <c r="A54" s="112"/>
      <c r="B54" s="32" t="str">
        <f>'2011'!D57</f>
        <v>ha</v>
      </c>
      <c r="C54" s="256">
        <f ca="1">IF($H$2=0,0,INDIRECT(ADDRESS(57,$K$2,,,$H$2)))</f>
        <v>908</v>
      </c>
      <c r="D54" s="277">
        <f ca="1">IF($J$2=0,0,INDIRECT(ADDRESS(57,$K$2,,,$J$2)))</f>
        <v>1383.29</v>
      </c>
      <c r="E54" s="247">
        <f t="shared" ca="1" si="3"/>
        <v>0.52344713656387665</v>
      </c>
      <c r="G54" s="125"/>
      <c r="H54" s="125"/>
      <c r="I54" s="125"/>
    </row>
    <row r="55" spans="1:9" ht="15" customHeight="1">
      <c r="A55" s="112" t="str">
        <f>'2011'!B58</f>
        <v xml:space="preserve"> FFH-Gebiete</v>
      </c>
      <c r="B55" s="32" t="str">
        <f>'2011'!D58</f>
        <v>Anzahl</v>
      </c>
      <c r="C55" s="256">
        <f ca="1">IF($H$2=0,0,INDIRECT(ADDRESS(58,$K$2,,,$H$2)))</f>
        <v>0</v>
      </c>
      <c r="D55" s="277">
        <f ca="1">IF($J$2=0,0,INDIRECT(ADDRESS(58,$K$2,,,$J$2)))</f>
        <v>13</v>
      </c>
      <c r="E55" s="247">
        <f t="shared" ca="1" si="3"/>
        <v>0</v>
      </c>
      <c r="G55" s="125"/>
      <c r="H55" s="125"/>
      <c r="I55" s="125"/>
    </row>
    <row r="56" spans="1:9" ht="15" customHeight="1">
      <c r="A56" s="112"/>
      <c r="B56" s="32" t="str">
        <f>'2011'!D59</f>
        <v>ha</v>
      </c>
      <c r="C56" s="256">
        <f ca="1">IF($H$2=0,0,INDIRECT(ADDRESS(59,$K$2,,,$H$2)))</f>
        <v>0</v>
      </c>
      <c r="D56" s="277">
        <f ca="1">IF($J$2=0,0,INDIRECT(ADDRESS(59,$K$2,,,$J$2)))</f>
        <v>7142.9500235680998</v>
      </c>
      <c r="E56" s="247">
        <f t="shared" ca="1" si="3"/>
        <v>0</v>
      </c>
      <c r="G56" s="125"/>
      <c r="H56" s="125"/>
      <c r="I56" s="125"/>
    </row>
    <row r="57" spans="1:9" ht="15" customHeight="1">
      <c r="A57" s="112" t="str">
        <f>'2011'!B60</f>
        <v xml:space="preserve"> Vogelschutzgebiete (SPA-Gebiete)</v>
      </c>
      <c r="B57" s="32" t="str">
        <f>'2011'!D60</f>
        <v>Anzahl</v>
      </c>
      <c r="C57" s="256">
        <f ca="1">IF($H$2=0,0,INDIRECT(ADDRESS(60,$K$2,,,$H$2)))</f>
        <v>0</v>
      </c>
      <c r="D57" s="277">
        <f ca="1">IF($J$2=0,0,INDIRECT(ADDRESS(60,$K$2,,,$J$2)))</f>
        <v>3</v>
      </c>
      <c r="E57" s="247">
        <f t="shared" ca="1" si="3"/>
        <v>0</v>
      </c>
      <c r="G57" s="125"/>
      <c r="H57" s="125"/>
      <c r="I57" s="125"/>
    </row>
    <row r="58" spans="1:9" ht="15" customHeight="1">
      <c r="A58" s="112"/>
      <c r="B58" s="32" t="str">
        <f>'2011'!D61</f>
        <v>ha</v>
      </c>
      <c r="C58" s="256">
        <f ca="1">IF($H$2=0,0,INDIRECT(ADDRESS(61,$K$2,,,$H$2)))</f>
        <v>0</v>
      </c>
      <c r="D58" s="277">
        <f ca="1">IF($J$2=0,0,INDIRECT(ADDRESS(61,$K$2,,,$J$2)))</f>
        <v>1207.4505157019</v>
      </c>
      <c r="E58" s="247">
        <f t="shared" ca="1" si="3"/>
        <v>0</v>
      </c>
      <c r="G58" s="125"/>
      <c r="H58" s="125"/>
      <c r="I58" s="125"/>
    </row>
    <row r="59" spans="1:9" ht="15" customHeight="1">
      <c r="A59" s="112" t="str">
        <f>'2011'!B62</f>
        <v xml:space="preserve"> Wasserschutzgebiete</v>
      </c>
      <c r="B59" s="32" t="str">
        <f>'2011'!D62</f>
        <v>Anzahl</v>
      </c>
      <c r="C59" s="256">
        <f ca="1">IF($H$2=0,0,INDIRECT(ADDRESS(62,$K$2,,,$H$2)))</f>
        <v>101</v>
      </c>
      <c r="D59" s="277">
        <f ca="1">IF($J$2=0,0,INDIRECT(ADDRESS(62,$K$2,,,$J$2)))</f>
        <v>93</v>
      </c>
      <c r="E59" s="247">
        <f t="shared" ca="1" si="3"/>
        <v>-7.9207920792079167E-2</v>
      </c>
      <c r="G59" s="125"/>
      <c r="H59" s="125"/>
      <c r="I59" s="125"/>
    </row>
    <row r="60" spans="1:9" ht="15" customHeight="1" thickBot="1">
      <c r="A60" s="120"/>
      <c r="B60" s="32" t="str">
        <f>'2011'!D63</f>
        <v>ha</v>
      </c>
      <c r="C60" s="263">
        <f ca="1">IF($H$2=0,0,INDIRECT(ADDRESS(63,$K$2,,,$H$2)))</f>
        <v>5820</v>
      </c>
      <c r="D60" s="286">
        <f ca="1">IF($J$2=0,0,INDIRECT(ADDRESS(63,$K$2,,,$J$2)))</f>
        <v>7444</v>
      </c>
      <c r="E60" s="247">
        <f t="shared" ca="1" si="3"/>
        <v>0.27903780068728512</v>
      </c>
      <c r="G60" s="125"/>
      <c r="H60" s="125"/>
      <c r="I60" s="125"/>
    </row>
    <row r="61" spans="1:9" ht="18.75" customHeight="1">
      <c r="A61" s="10" t="s">
        <v>86</v>
      </c>
      <c r="B61" s="47"/>
      <c r="C61" s="150"/>
      <c r="D61" s="148"/>
      <c r="E61" s="153"/>
      <c r="G61" s="125"/>
      <c r="H61" s="125"/>
      <c r="I61" s="125"/>
    </row>
    <row r="62" spans="1:9" ht="15" customHeight="1">
      <c r="A62" s="112" t="str">
        <f>'2011'!B65</f>
        <v>Anteil an der landw. genutzten Fläche</v>
      </c>
      <c r="B62" s="19" t="str">
        <f>'2011'!D65</f>
        <v>ha LF</v>
      </c>
      <c r="C62" s="270">
        <f ca="1">IF($H$2=0,0,INDIRECT(ADDRESS(65,$K$2,,,$H$2)))</f>
        <v>73756.572</v>
      </c>
      <c r="D62" s="262">
        <f ca="1">IF($J$2=0,0,INDIRECT(ADDRESS(65,$K$2,,,$J$2)))</f>
        <v>74052.709999999992</v>
      </c>
      <c r="E62" s="247">
        <f ca="1">IF(ISERROR(D62/C62)=TRUE,0,D62/C62-1)</f>
        <v>4.0150727178589474E-3</v>
      </c>
      <c r="G62" s="125"/>
      <c r="H62" s="125"/>
      <c r="I62" s="125"/>
    </row>
    <row r="63" spans="1:9" ht="15" customHeight="1">
      <c r="A63" s="112" t="str">
        <f>'2011'!B66</f>
        <v>davon Benachteiligte Agrarzone</v>
      </c>
      <c r="B63" s="19" t="str">
        <f>'2011'!D66</f>
        <v>ha LF beantr.</v>
      </c>
      <c r="C63" s="271">
        <f ca="1">IF($H$2=0,0,INDIRECT(ADDRESS(66,$K$2,,,$H$2)))</f>
        <v>51366</v>
      </c>
      <c r="D63" s="257">
        <f ca="1">IF($J$2=0,0,INDIRECT(ADDRESS(66,$K$2,,,$J$2)))</f>
        <v>49371</v>
      </c>
      <c r="E63" s="247">
        <f ca="1">IF(ISERROR(D63/C63)=TRUE,0,D63/C63-1)</f>
        <v>-3.8838920686835698E-2</v>
      </c>
      <c r="G63" s="125"/>
      <c r="H63" s="125"/>
      <c r="I63" s="125"/>
    </row>
    <row r="64" spans="1:9" ht="15" customHeight="1" thickBot="1">
      <c r="A64" s="122" t="str">
        <f>'2011'!B67</f>
        <v>davon Berggebiete</v>
      </c>
      <c r="B64" s="50" t="str">
        <f>'2011'!D67</f>
        <v>ha LF beantr.</v>
      </c>
      <c r="C64" s="272">
        <f ca="1">IF($H$2=0,0,INDIRECT(ADDRESS(67,$K$2,,,$H$2)))</f>
        <v>0</v>
      </c>
      <c r="D64" s="264">
        <f ca="1">IF($J$2=0,0,INDIRECT(ADDRESS(67,$K$2,,,$J$2)))</f>
        <v>0</v>
      </c>
      <c r="E64" s="247">
        <f ca="1">IF(ISERROR(D64/C64)=TRUE,0,D64/C64-1)</f>
        <v>0</v>
      </c>
      <c r="G64" s="125"/>
      <c r="H64" s="125"/>
      <c r="I64" s="125"/>
    </row>
    <row r="65" spans="1:9" ht="18.75" customHeight="1">
      <c r="A65" s="10" t="s">
        <v>87</v>
      </c>
      <c r="B65" s="47"/>
      <c r="C65" s="273"/>
      <c r="D65" s="274"/>
      <c r="E65" s="153"/>
      <c r="G65" s="125"/>
      <c r="H65" s="125"/>
      <c r="I65" s="125"/>
    </row>
    <row r="66" spans="1:9" ht="15" customHeight="1">
      <c r="A66" s="76" t="str">
        <f>'2011'!B69</f>
        <v>Landwirtschaftl. Betriebe (ab 5 ha LF)</v>
      </c>
      <c r="B66" s="20" t="str">
        <f>'2011'!D69</f>
        <v>Anzahl</v>
      </c>
      <c r="C66" s="269">
        <f ca="1">IF($H$2=0,0,INDIRECT(ADDRESS(69,$K$2,,,$H$2)))</f>
        <v>122</v>
      </c>
      <c r="D66" s="262">
        <f ca="1">IF($J$2=0,0,INDIRECT(ADDRESS(69,$K$2,,,$J$2)))</f>
        <v>124</v>
      </c>
      <c r="E66" s="247">
        <f ca="1">IF(ISERROR(D66/C66)=TRUE,0,D66/C66-1)</f>
        <v>1.6393442622950838E-2</v>
      </c>
      <c r="G66" s="125"/>
      <c r="H66" s="125"/>
      <c r="I66" s="125"/>
    </row>
    <row r="67" spans="1:9" ht="15" customHeight="1">
      <c r="A67" s="77" t="str">
        <f>'2011'!B70</f>
        <v xml:space="preserve">Landwirtschaftlich genutzte Fläche (LF)   </v>
      </c>
      <c r="B67" s="36" t="str">
        <f>'2011'!D70</f>
        <v>ha</v>
      </c>
      <c r="C67" s="271">
        <f ca="1">IF($H$2=0,0,INDIRECT(ADDRESS(70,$K$2,,,$H$2)))</f>
        <v>3678</v>
      </c>
      <c r="D67" s="257">
        <f ca="1">IF($J$2=0,0,INDIRECT(ADDRESS(70,$K$2,,,$J$2)))</f>
        <v>4615</v>
      </c>
      <c r="E67" s="247">
        <f ca="1">IF(ISERROR(D67/C67)=TRUE,0,D67/C67-1)</f>
        <v>0.25475802066340392</v>
      </c>
      <c r="G67" s="125"/>
      <c r="H67" s="125"/>
      <c r="I67" s="125"/>
    </row>
    <row r="68" spans="1:9" ht="15" customHeight="1" thickBot="1">
      <c r="A68" s="76" t="str">
        <f>'2011'!B71</f>
        <v>Ø Betriebsgröße (Betriebe ab 5 ha LF)</v>
      </c>
      <c r="B68" s="20" t="str">
        <f>'2011'!D71</f>
        <v>ha</v>
      </c>
      <c r="C68" s="260">
        <f ca="1">IF($H$2=0,0,INDIRECT(ADDRESS(71,$K$2,,,$H$2)))</f>
        <v>30.147540983606557</v>
      </c>
      <c r="D68" s="259">
        <f ca="1">IF($J$2=0,0,INDIRECT(ADDRESS(71,$K$2,,,$J$2)))</f>
        <v>37.217741935483872</v>
      </c>
      <c r="E68" s="247">
        <f ca="1">IF(ISERROR(D68/C68)=TRUE,0,D68/C68-1)</f>
        <v>0.23451998807205876</v>
      </c>
      <c r="G68" s="125"/>
      <c r="H68" s="125"/>
      <c r="I68" s="125"/>
    </row>
    <row r="69" spans="1:9" ht="18.75" customHeight="1">
      <c r="A69" s="10" t="s">
        <v>89</v>
      </c>
      <c r="B69" s="47"/>
      <c r="C69" s="150"/>
      <c r="D69" s="148"/>
      <c r="E69" s="153"/>
      <c r="G69" s="125"/>
      <c r="H69" s="125"/>
      <c r="I69" s="125"/>
    </row>
    <row r="70" spans="1:9" ht="15" customHeight="1">
      <c r="A70" s="76" t="str">
        <f>'2011'!B73</f>
        <v>Ackerbaubetriebe</v>
      </c>
      <c r="B70" s="20" t="str">
        <f>'2011'!D73</f>
        <v>Anzahl</v>
      </c>
      <c r="C70" s="269">
        <f ca="1">IF($H$2=0,0,INDIRECT(ADDRESS(73,$K$2,,,$H$2)))</f>
        <v>251</v>
      </c>
      <c r="D70" s="262">
        <f ca="1">IF($J$2=0,0,INDIRECT(ADDRESS(73,$K$2,,,$J$2)))</f>
        <v>214</v>
      </c>
      <c r="E70" s="247">
        <f t="shared" ref="E70:E75" ca="1" si="4">IF(ISERROR(D70/C70)=TRUE,0,D70/C70-1)</f>
        <v>-0.14741035856573703</v>
      </c>
      <c r="G70" s="125"/>
      <c r="H70" s="125"/>
      <c r="I70" s="125"/>
    </row>
    <row r="71" spans="1:9" ht="15" customHeight="1">
      <c r="A71" s="77" t="str">
        <f>'2011'!B74</f>
        <v>Gartenbaubetriebe</v>
      </c>
      <c r="B71" s="20" t="str">
        <f>'2011'!D74</f>
        <v>Anzahl</v>
      </c>
      <c r="C71" s="256">
        <f ca="1">IF($H$2=0,0,INDIRECT(ADDRESS(74,$K$2,,,$H$2)))</f>
        <v>28</v>
      </c>
      <c r="D71" s="257">
        <f ca="1">IF($J$2=0,0,INDIRECT(ADDRESS(74,$K$2,,,$J$2)))</f>
        <v>19</v>
      </c>
      <c r="E71" s="247">
        <f t="shared" ca="1" si="4"/>
        <v>-0.3214285714285714</v>
      </c>
      <c r="G71" s="125"/>
      <c r="H71" s="125"/>
      <c r="I71" s="125"/>
    </row>
    <row r="72" spans="1:9" ht="15" customHeight="1">
      <c r="A72" s="77" t="str">
        <f>'2011'!B75</f>
        <v>Dauerkulturbetriebe</v>
      </c>
      <c r="B72" s="20" t="str">
        <f>'2011'!D75</f>
        <v>Anzahl</v>
      </c>
      <c r="C72" s="256">
        <f ca="1">IF($H$2=0,0,INDIRECT(ADDRESS(75,$K$2,,,$H$2)))</f>
        <v>15</v>
      </c>
      <c r="D72" s="257" t="str">
        <f ca="1">IF($J$2=0,0,INDIRECT(ADDRESS(75,$K$2,,,$J$2)))</f>
        <v>*</v>
      </c>
      <c r="E72" s="247">
        <f t="shared" ca="1" si="4"/>
        <v>0</v>
      </c>
      <c r="G72" s="125"/>
      <c r="H72" s="125"/>
      <c r="I72" s="125"/>
    </row>
    <row r="73" spans="1:9" ht="15" customHeight="1">
      <c r="A73" s="77" t="str">
        <f>'2011'!B76</f>
        <v>Weideviehbetriebe</v>
      </c>
      <c r="B73" s="20" t="str">
        <f>'2011'!D76</f>
        <v>Anzahl</v>
      </c>
      <c r="C73" s="256">
        <f ca="1">IF($H$2=0,0,INDIRECT(ADDRESS(76,$K$2,,,$H$2)))</f>
        <v>1469</v>
      </c>
      <c r="D73" s="257">
        <f ca="1">IF($J$2=0,0,INDIRECT(ADDRESS(76,$K$2,,,$J$2)))</f>
        <v>923</v>
      </c>
      <c r="E73" s="247">
        <f t="shared" ca="1" si="4"/>
        <v>-0.37168141592920356</v>
      </c>
      <c r="G73" s="125"/>
      <c r="H73" s="125"/>
      <c r="I73" s="125"/>
    </row>
    <row r="74" spans="1:9" ht="15" customHeight="1">
      <c r="A74" s="77" t="str">
        <f>'2011'!B77</f>
        <v>Veredlungsbetriebe</v>
      </c>
      <c r="B74" s="20" t="str">
        <f>'2011'!D77</f>
        <v>Anzahl</v>
      </c>
      <c r="C74" s="256">
        <f ca="1">IF($H$2=0,0,INDIRECT(ADDRESS(77,$K$2,,,$H$2)))</f>
        <v>828</v>
      </c>
      <c r="D74" s="257">
        <f ca="1">IF($J$2=0,0,INDIRECT(ADDRESS(77,$K$2,,,$J$2)))</f>
        <v>538</v>
      </c>
      <c r="E74" s="247">
        <f t="shared" ca="1" si="4"/>
        <v>-0.35024154589371981</v>
      </c>
      <c r="G74" s="125"/>
      <c r="H74" s="125"/>
      <c r="I74" s="125"/>
    </row>
    <row r="75" spans="1:9" ht="15" customHeight="1" thickBot="1">
      <c r="A75" s="77" t="str">
        <f>'2011'!B78</f>
        <v>Verbundbetriebe</v>
      </c>
      <c r="B75" s="20" t="str">
        <f>'2011'!D78</f>
        <v>Anzahl</v>
      </c>
      <c r="C75" s="263">
        <f ca="1">IF($H$2=0,0,INDIRECT(ADDRESS(78,$K$2,,,$H$2)))</f>
        <v>657</v>
      </c>
      <c r="D75" s="257">
        <f ca="1">IF($J$2=0,0,INDIRECT(ADDRESS(78,$K$2,,,$J$2)))</f>
        <v>323</v>
      </c>
      <c r="E75" s="247">
        <f t="shared" ca="1" si="4"/>
        <v>-0.50837138508371393</v>
      </c>
      <c r="G75" s="125"/>
      <c r="H75" s="125"/>
      <c r="I75" s="125"/>
    </row>
    <row r="76" spans="1:9" ht="18.75" customHeight="1">
      <c r="A76" s="10" t="s">
        <v>84</v>
      </c>
      <c r="B76" s="47"/>
      <c r="C76" s="273"/>
      <c r="D76" s="275"/>
      <c r="E76" s="152"/>
      <c r="G76" s="125"/>
      <c r="H76" s="125"/>
      <c r="I76" s="125"/>
    </row>
    <row r="77" spans="1:9" ht="15" customHeight="1">
      <c r="A77" s="76" t="str">
        <f>'2011'!B80</f>
        <v>Antragsteller</v>
      </c>
      <c r="B77" s="20" t="str">
        <f>'2011'!D80</f>
        <v>Anzahl</v>
      </c>
      <c r="C77" s="269">
        <f ca="1">IF($H$2=0,0,INDIRECT(ADDRESS(80,$K$2,,,$H$2)))</f>
        <v>2844</v>
      </c>
      <c r="D77" s="276">
        <f ca="1">IF($J$2=0,0,INDIRECT(ADDRESS(80,$K$2,,,$J$2)))</f>
        <v>2608</v>
      </c>
      <c r="E77" s="247">
        <f t="shared" ref="E77:E82" ca="1" si="5">IF(ISERROR(D77/C77)=TRUE,0,D77/C77-1)</f>
        <v>-8.2981715893108321E-2</v>
      </c>
      <c r="G77" s="125"/>
      <c r="H77" s="125"/>
      <c r="I77" s="125"/>
    </row>
    <row r="78" spans="1:9" ht="15" customHeight="1">
      <c r="A78" s="77" t="str">
        <f>'2011'!B81</f>
        <v>Schläge</v>
      </c>
      <c r="B78" s="20" t="str">
        <f>'2011'!D81</f>
        <v>Anzahl</v>
      </c>
      <c r="C78" s="256">
        <f ca="1">IF($H$2=0,0,INDIRECT(ADDRESS(81,$K$2,,,$H$2)))</f>
        <v>0</v>
      </c>
      <c r="D78" s="277">
        <f ca="1">IF($J$2=0,0,INDIRECT(ADDRESS(81,$K$2,,,$J$2)))</f>
        <v>69554</v>
      </c>
      <c r="E78" s="247">
        <f t="shared" ca="1" si="5"/>
        <v>0</v>
      </c>
      <c r="G78" s="125"/>
      <c r="H78" s="125"/>
      <c r="I78" s="125"/>
    </row>
    <row r="79" spans="1:9" ht="15" customHeight="1">
      <c r="A79" s="77" t="str">
        <f>'2011'!B82</f>
        <v>Schläge / Antrag</v>
      </c>
      <c r="B79" s="20" t="str">
        <f>'2011'!D82</f>
        <v>Anzahl</v>
      </c>
      <c r="C79" s="256">
        <f ca="1">IF($H$2=0,0,INDIRECT(ADDRESS(82,$K$2,,,$H$2)))</f>
        <v>0</v>
      </c>
      <c r="D79" s="277">
        <f ca="1">IF($J$2=0,0,INDIRECT(ADDRESS(82,$K$2,,,$J$2)))</f>
        <v>26.66947852760736</v>
      </c>
      <c r="E79" s="247">
        <f t="shared" ca="1" si="5"/>
        <v>0</v>
      </c>
      <c r="G79" s="125"/>
      <c r="H79" s="125"/>
      <c r="I79" s="125"/>
    </row>
    <row r="80" spans="1:9" ht="15" customHeight="1">
      <c r="A80" s="77" t="str">
        <f>'2011'!B83</f>
        <v>Ø Schlaggröße Ackerland</v>
      </c>
      <c r="B80" s="20" t="str">
        <f>'2011'!D83</f>
        <v>ha</v>
      </c>
      <c r="C80" s="278">
        <f ca="1">IF($H$2=0,0,INDIRECT(ADDRESS(83,$K$2,,,$H$2)))</f>
        <v>0</v>
      </c>
      <c r="D80" s="279">
        <f ca="1">IF($J$2=0,0,INDIRECT(ADDRESS(83,$K$2,,,$J$2)))</f>
        <v>2.15</v>
      </c>
      <c r="E80" s="247">
        <f t="shared" ca="1" si="5"/>
        <v>0</v>
      </c>
      <c r="G80" s="125"/>
      <c r="H80" s="125"/>
      <c r="I80" s="125"/>
    </row>
    <row r="81" spans="1:9" ht="15" customHeight="1">
      <c r="A81" s="77" t="str">
        <f>'2011'!B84</f>
        <v>Ø Schlaggröße Dauergrünland</v>
      </c>
      <c r="B81" s="20" t="str">
        <f>'2011'!D84</f>
        <v>ha</v>
      </c>
      <c r="C81" s="278">
        <f ca="1">IF($H$2=0,0,INDIRECT(ADDRESS(84,$K$2,,,$H$2)))</f>
        <v>0</v>
      </c>
      <c r="D81" s="279">
        <f ca="1">IF($J$2=0,0,INDIRECT(ADDRESS(84,$K$2,,,$J$2)))</f>
        <v>0.98</v>
      </c>
      <c r="E81" s="247">
        <f t="shared" ca="1" si="5"/>
        <v>0</v>
      </c>
      <c r="G81" s="125"/>
      <c r="H81" s="125"/>
      <c r="I81" s="125"/>
    </row>
    <row r="82" spans="1:9" ht="15" customHeight="1" thickBot="1">
      <c r="A82" s="77" t="str">
        <f>'2011'!B85</f>
        <v>Ø Schlaggröße Dauerkulturen</v>
      </c>
      <c r="B82" s="20" t="str">
        <f>'2011'!D85</f>
        <v>ha</v>
      </c>
      <c r="C82" s="278">
        <f ca="1">IF($H$2=0,0,INDIRECT(ADDRESS(85,$K$2,,,$H$2)))</f>
        <v>0</v>
      </c>
      <c r="D82" s="279">
        <f ca="1">IF($J$2=0,0,INDIRECT(ADDRESS(85,$K$2,,,$J$2)))</f>
        <v>0.37</v>
      </c>
      <c r="E82" s="247">
        <f t="shared" ca="1" si="5"/>
        <v>0</v>
      </c>
      <c r="G82" s="125"/>
      <c r="H82" s="125"/>
      <c r="I82" s="125"/>
    </row>
    <row r="83" spans="1:9" ht="18.75" customHeight="1">
      <c r="A83" s="10" t="s">
        <v>199</v>
      </c>
      <c r="B83" s="47"/>
      <c r="C83" s="150"/>
      <c r="D83" s="154"/>
      <c r="E83" s="152"/>
      <c r="G83" s="125"/>
      <c r="H83" s="125"/>
      <c r="I83" s="125"/>
    </row>
    <row r="84" spans="1:9" ht="15" customHeight="1" thickBot="1">
      <c r="A84" s="143" t="str">
        <f>'2011'!B87</f>
        <v>Ø Kaufpreis</v>
      </c>
      <c r="B84" s="144" t="str">
        <f>'2011'!D87</f>
        <v>EUR/ha</v>
      </c>
      <c r="C84" s="280">
        <f ca="1">IF($H$2=0,0,INDIRECT(ADDRESS(87,$K$2,,,$H$2)))</f>
        <v>17884</v>
      </c>
      <c r="D84" s="281">
        <f ca="1">IF($J$2=0,0,INDIRECT(ADDRESS(87,$K$2,,,$J$2)))</f>
        <v>18138</v>
      </c>
      <c r="E84" s="247">
        <f ca="1">IF(ISERROR(D84/C84)=TRUE,0,D84/C84-1)</f>
        <v>1.4202639230597169E-2</v>
      </c>
      <c r="G84" s="125"/>
      <c r="H84" s="125"/>
      <c r="I84" s="125"/>
    </row>
    <row r="85" spans="1:9" ht="18.75" customHeight="1">
      <c r="A85" s="10" t="s">
        <v>209</v>
      </c>
      <c r="B85" s="47"/>
      <c r="C85" s="150"/>
      <c r="D85" s="154"/>
      <c r="E85" s="152"/>
      <c r="G85" s="125"/>
      <c r="H85" s="125"/>
      <c r="I85" s="125"/>
    </row>
    <row r="86" spans="1:9" ht="15" customHeight="1">
      <c r="A86" s="76" t="str">
        <f>'2011'!B89</f>
        <v>Getreide insg. (ohne Körnermais)</v>
      </c>
      <c r="B86" s="20" t="str">
        <f>'2011'!D89</f>
        <v>dt/ha</v>
      </c>
      <c r="C86" s="282">
        <f ca="1">IF($H$2=0,0,INDIRECT(ADDRESS(89,$K$2,,,$H$2)))</f>
        <v>64.2</v>
      </c>
      <c r="D86" s="259">
        <f ca="1">IF($J$2=0,0,INDIRECT(ADDRESS(89,$K$2,,,$J$2)))</f>
        <v>68.3</v>
      </c>
      <c r="E86" s="247">
        <f ca="1">IF(ISERROR(D86/C86)=TRUE,0,D86/C86-1)</f>
        <v>6.3862928348909609E-2</v>
      </c>
      <c r="G86" s="125"/>
      <c r="H86" s="125"/>
      <c r="I86" s="125"/>
    </row>
    <row r="87" spans="1:9" ht="15" customHeight="1">
      <c r="A87" s="77" t="str">
        <f>'2011'!B90</f>
        <v>Zuckerrüben</v>
      </c>
      <c r="B87" s="20" t="str">
        <f>'2011'!D90</f>
        <v>dt/ha</v>
      </c>
      <c r="C87" s="265">
        <f ca="1">IF($H$2=0,0,INDIRECT(ADDRESS(90,$K$2,,,$H$2)))</f>
        <v>576.9</v>
      </c>
      <c r="D87" s="253">
        <f ca="1">IF($J$2=0,0,INDIRECT(ADDRESS(90,$K$2,,,$J$2)))</f>
        <v>616.6</v>
      </c>
      <c r="E87" s="247">
        <f ca="1">IF(ISERROR(D87/C87)=TRUE,0,D87/C87-1)</f>
        <v>6.8816085976772579E-2</v>
      </c>
      <c r="G87" s="125"/>
      <c r="H87" s="125"/>
      <c r="I87" s="125"/>
    </row>
    <row r="88" spans="1:9" ht="15" customHeight="1">
      <c r="A88" s="77" t="str">
        <f>'2011'!B91</f>
        <v>Winterraps</v>
      </c>
      <c r="B88" s="20" t="str">
        <f>'2011'!D91</f>
        <v>dt/ha</v>
      </c>
      <c r="C88" s="265">
        <f ca="1">IF($H$2=0,0,INDIRECT(ADDRESS(91,$K$2,,,$H$2)))</f>
        <v>33.700000000000003</v>
      </c>
      <c r="D88" s="253">
        <f ca="1">IF($J$2=0,0,INDIRECT(ADDRESS(91,$K$2,,,$J$2)))</f>
        <v>40.4</v>
      </c>
      <c r="E88" s="247">
        <f ca="1">IF(ISERROR(D88/C88)=TRUE,0,D88/C88-1)</f>
        <v>0.19881305637982183</v>
      </c>
      <c r="G88" s="125"/>
      <c r="H88" s="125"/>
      <c r="I88" s="125"/>
    </row>
    <row r="89" spans="1:9" ht="15" customHeight="1" thickBot="1">
      <c r="A89" s="141" t="str">
        <f>'2011'!B92</f>
        <v>Silomais</v>
      </c>
      <c r="B89" s="142" t="str">
        <f>'2011'!D92</f>
        <v>dt/ha</v>
      </c>
      <c r="C89" s="266">
        <f ca="1">IF($H$2=0,0,INDIRECT(ADDRESS(92,$K$2,,,$H$2)))</f>
        <v>426</v>
      </c>
      <c r="D89" s="267">
        <f ca="1">IF($J$2=0,0,INDIRECT(ADDRESS(92,$K$2,,,$J$2)))</f>
        <v>449.1</v>
      </c>
      <c r="E89" s="249">
        <f ca="1">IF(ISERROR(D89/C89)=TRUE,0,D89/C89-1)</f>
        <v>5.4225352112676095E-2</v>
      </c>
      <c r="G89" s="125"/>
      <c r="H89" s="125"/>
      <c r="I89" s="125"/>
    </row>
    <row r="90" spans="1:9" ht="18" customHeight="1" thickTop="1">
      <c r="A90" s="102" t="str">
        <f>IF(ISERROR(HLOOKUP($G$2,Daten,'2011'!A99,FALSE)),"",HLOOKUP($G$2,Daten,'2011'!A99,FALSE))</f>
        <v xml:space="preserve"> </v>
      </c>
      <c r="G90" s="125"/>
      <c r="H90" s="125"/>
      <c r="I90" s="125"/>
    </row>
    <row r="91" spans="1:9">
      <c r="A91" s="71" t="str">
        <f>Strukturdaten!A91</f>
        <v>Quellen:  Statistisches Landesamt Baden-Württemberg, 2007-2011</v>
      </c>
      <c r="C91" s="108" t="s">
        <v>259</v>
      </c>
      <c r="G91" s="125"/>
      <c r="H91" s="125"/>
      <c r="I91" s="125"/>
    </row>
    <row r="92" spans="1:9">
      <c r="A92" s="86" t="str">
        <f>Strukturdaten!A92</f>
        <v>Bundesanstalt für Arbeit 2011</v>
      </c>
      <c r="G92" s="125"/>
      <c r="H92" s="125"/>
      <c r="I92" s="125"/>
    </row>
    <row r="93" spans="1:9">
      <c r="A93" s="86" t="str">
        <f>Strukturdaten!A93</f>
        <v>Landesanstalt für Umwelt, Messungen und Naturschutz (LUBW), Schutzgebietsverzeichnis 2011</v>
      </c>
      <c r="G93" s="125"/>
      <c r="H93" s="125"/>
      <c r="I93" s="125"/>
    </row>
    <row r="94" spans="1:9">
      <c r="A94" s="86" t="str">
        <f>Strukturdaten!A94</f>
        <v>Landesamt für Geoinformation und Landentwicklung (LGL) - Abteilung Geodatenzentrum (GDZ), Gemeinsamer Antrag 2011</v>
      </c>
      <c r="G94" s="125"/>
      <c r="H94" s="125"/>
      <c r="I94" s="125"/>
    </row>
    <row r="95" spans="1:9">
      <c r="A95" s="71" t="str">
        <f>Strukturdaten!A95</f>
        <v>1) Summe aus Gebäude-, Betriebs-, Erholungs- und Verkehrsfläche</v>
      </c>
    </row>
    <row r="96" spans="1:9" ht="12.75" customHeight="1">
      <c r="A96" s="71" t="str">
        <f>Strukturdaten!A96</f>
        <v>2) Bezogen auf alle zivilen Erwerbspersonen</v>
      </c>
    </row>
    <row r="97" spans="1:5">
      <c r="A97" s="523" t="str">
        <f>Strukturdaten!A97</f>
        <v xml:space="preserve">3) Da einzelne Schutzgebiete in mehreren Kreisen liegen, kommt es zu Mehrfachzählungen, welche eine Aggregation auf Regions- </v>
      </c>
      <c r="B97" s="523"/>
      <c r="C97" s="523"/>
      <c r="D97" s="523"/>
      <c r="E97" s="523"/>
    </row>
    <row r="98" spans="1:5">
      <c r="A98" s="523" t="str">
        <f>Strukturdaten!A98</f>
        <v>und Regierungsbezirksebene ausschließen.</v>
      </c>
      <c r="B98" s="523"/>
      <c r="C98" s="523"/>
      <c r="D98" s="523"/>
      <c r="E98" s="523"/>
    </row>
  </sheetData>
  <sheetCalcPr fullCalcOnLoad="1"/>
  <mergeCells count="3">
    <mergeCell ref="C1:E1"/>
    <mergeCell ref="A97:E97"/>
    <mergeCell ref="A98:E98"/>
  </mergeCells>
  <phoneticPr fontId="0" type="noConversion"/>
  <hyperlinks>
    <hyperlink ref="L1" location="Deckblatt!A34" display="Hinweise"/>
  </hyperlinks>
  <pageMargins left="0.59055118110236227" right="0.59055118110236227" top="0.59055118110236227" bottom="0.59055118110236227" header="0.51181102362204722" footer="0.39370078740157483"/>
  <pageSetup paperSize="9" scale="91" fitToHeight="0" orientation="portrait" r:id="rId1"/>
  <headerFooter alignWithMargins="0">
    <oddFooter>&amp;L&amp;"Arial,Fett Kursiv"&amp;12LEL&amp;"Arial,Standard"&amp;10 Schwäbisch Gmünd, Ref. 32&amp;C10.01.2012&amp;R&amp;"Arial,Fett"&amp;P</oddFooter>
  </headerFooter>
  <rowBreaks count="1" manualBreakCount="1">
    <brk id="51"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0" r:id="rId4" name="Drop Down 10">
              <controlPr defaultSize="0" print="0" autoLine="0" autoPict="0">
                <anchor moveWithCells="1">
                  <from>
                    <xdr:col>2</xdr:col>
                    <xdr:colOff>0</xdr:colOff>
                    <xdr:row>1</xdr:row>
                    <xdr:rowOff>0</xdr:rowOff>
                  </from>
                  <to>
                    <xdr:col>2</xdr:col>
                    <xdr:colOff>971550</xdr:colOff>
                    <xdr:row>1</xdr:row>
                    <xdr:rowOff>285750</xdr:rowOff>
                  </to>
                </anchor>
              </controlPr>
            </control>
          </mc:Choice>
        </mc:AlternateContent>
        <mc:AlternateContent xmlns:mc="http://schemas.openxmlformats.org/markup-compatibility/2006">
          <mc:Choice Requires="x14">
            <control shapeId="122895" r:id="rId5" name="Drop Down 15">
              <controlPr defaultSize="0" print="0" autoLine="0" autoPict="0">
                <anchor moveWithCells="1">
                  <from>
                    <xdr:col>3</xdr:col>
                    <xdr:colOff>0</xdr:colOff>
                    <xdr:row>1</xdr:row>
                    <xdr:rowOff>0</xdr:rowOff>
                  </from>
                  <to>
                    <xdr:col>4</xdr:col>
                    <xdr:colOff>0</xdr:colOff>
                    <xdr:row>1</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7"/>
  <sheetViews>
    <sheetView zoomScaleNormal="100" workbookViewId="0">
      <pane xSplit="5" ySplit="4" topLeftCell="F41" activePane="bottomRight" state="frozen"/>
      <selection activeCell="E106" sqref="E106"/>
      <selection pane="topRight" activeCell="E106" sqref="E106"/>
      <selection pane="bottomLeft" activeCell="E106" sqref="E106"/>
      <selection pane="bottomRight" activeCell="G67" sqref="G67"/>
    </sheetView>
  </sheetViews>
  <sheetFormatPr baseColWidth="10" defaultRowHeight="12.75"/>
  <cols>
    <col min="1" max="1" width="4" bestFit="1" customWidth="1"/>
    <col min="2" max="2" width="39" style="66" customWidth="1"/>
    <col min="3" max="3" width="6.85546875" style="238" customWidth="1"/>
    <col min="4" max="4" width="12.5703125" bestFit="1" customWidth="1"/>
    <col min="5" max="5" width="8.7109375" style="79" bestFit="1" customWidth="1"/>
    <col min="6" max="89" width="11.42578125" style="166"/>
    <col min="90" max="90" width="17.85546875" style="166" bestFit="1" customWidth="1"/>
  </cols>
  <sheetData>
    <row r="1" spans="1:91" ht="13.5" thickBot="1">
      <c r="B1" s="81" t="s">
        <v>198</v>
      </c>
      <c r="E1" s="80"/>
    </row>
    <row r="2" spans="1:91">
      <c r="B2" s="94"/>
      <c r="C2" s="239"/>
      <c r="D2" s="95"/>
      <c r="E2" s="341" t="s">
        <v>215</v>
      </c>
      <c r="F2" s="167" t="s">
        <v>149</v>
      </c>
      <c r="G2" s="168" t="s">
        <v>149</v>
      </c>
      <c r="H2" s="168" t="s">
        <v>149</v>
      </c>
      <c r="I2" s="169" t="s">
        <v>149</v>
      </c>
      <c r="J2" s="168"/>
      <c r="K2" s="167" t="s">
        <v>167</v>
      </c>
      <c r="L2" s="168" t="s">
        <v>167</v>
      </c>
      <c r="M2" s="168" t="s">
        <v>167</v>
      </c>
      <c r="N2" s="168" t="s">
        <v>167</v>
      </c>
      <c r="O2" s="168" t="s">
        <v>167</v>
      </c>
      <c r="P2" s="168" t="s">
        <v>167</v>
      </c>
      <c r="Q2" s="168" t="s">
        <v>167</v>
      </c>
      <c r="R2" s="168" t="s">
        <v>167</v>
      </c>
      <c r="S2" s="168" t="s">
        <v>167</v>
      </c>
      <c r="T2" s="168" t="s">
        <v>167</v>
      </c>
      <c r="U2" s="170" t="s">
        <v>167</v>
      </c>
      <c r="V2" s="168" t="s">
        <v>167</v>
      </c>
      <c r="W2" s="168" t="s">
        <v>167</v>
      </c>
      <c r="X2" s="168" t="s">
        <v>167</v>
      </c>
      <c r="Y2" s="168" t="s">
        <v>167</v>
      </c>
      <c r="Z2" s="168" t="s">
        <v>167</v>
      </c>
      <c r="AA2" s="168" t="s">
        <v>167</v>
      </c>
      <c r="AB2" s="170" t="s">
        <v>167</v>
      </c>
      <c r="AC2" s="168" t="s">
        <v>167</v>
      </c>
      <c r="AD2" s="168" t="s">
        <v>167</v>
      </c>
      <c r="AE2" s="168" t="s">
        <v>167</v>
      </c>
      <c r="AF2" s="168" t="s">
        <v>167</v>
      </c>
      <c r="AG2" s="168" t="s">
        <v>167</v>
      </c>
      <c r="AH2" s="168" t="s">
        <v>167</v>
      </c>
      <c r="AI2" s="168" t="s">
        <v>167</v>
      </c>
      <c r="AJ2" s="168" t="s">
        <v>167</v>
      </c>
      <c r="AK2" s="170" t="s">
        <v>167</v>
      </c>
      <c r="AL2" s="168" t="s">
        <v>167</v>
      </c>
      <c r="AM2" s="168" t="s">
        <v>167</v>
      </c>
      <c r="AN2" s="168" t="s">
        <v>167</v>
      </c>
      <c r="AO2" s="168" t="s">
        <v>167</v>
      </c>
      <c r="AP2" s="168" t="s">
        <v>167</v>
      </c>
      <c r="AQ2" s="168" t="s">
        <v>167</v>
      </c>
      <c r="AR2" s="168" t="s">
        <v>167</v>
      </c>
      <c r="AS2" s="169" t="s">
        <v>167</v>
      </c>
      <c r="AT2" s="168" t="s">
        <v>111</v>
      </c>
      <c r="AU2" s="168" t="s">
        <v>112</v>
      </c>
      <c r="AV2" s="168" t="s">
        <v>112</v>
      </c>
      <c r="AW2" s="168" t="s">
        <v>112</v>
      </c>
      <c r="AX2" s="168" t="s">
        <v>112</v>
      </c>
      <c r="AY2" s="168" t="s">
        <v>112</v>
      </c>
      <c r="AZ2" s="168" t="s">
        <v>111</v>
      </c>
      <c r="BA2" s="168" t="s">
        <v>112</v>
      </c>
      <c r="BB2" s="168" t="s">
        <v>112</v>
      </c>
      <c r="BC2" s="168" t="s">
        <v>112</v>
      </c>
      <c r="BD2" s="168" t="s">
        <v>112</v>
      </c>
      <c r="BE2" s="168" t="s">
        <v>112</v>
      </c>
      <c r="BF2" s="170" t="s">
        <v>112</v>
      </c>
      <c r="BG2" s="168" t="s">
        <v>111</v>
      </c>
      <c r="BH2" s="168" t="s">
        <v>111</v>
      </c>
      <c r="BI2" s="168" t="s">
        <v>112</v>
      </c>
      <c r="BJ2" s="168" t="s">
        <v>112</v>
      </c>
      <c r="BK2" s="168" t="s">
        <v>111</v>
      </c>
      <c r="BL2" s="168" t="s">
        <v>111</v>
      </c>
      <c r="BM2" s="168" t="s">
        <v>112</v>
      </c>
      <c r="BN2" s="168" t="s">
        <v>112</v>
      </c>
      <c r="BO2" s="168" t="s">
        <v>111</v>
      </c>
      <c r="BP2" s="168" t="s">
        <v>112</v>
      </c>
      <c r="BQ2" s="168" t="s">
        <v>112</v>
      </c>
      <c r="BR2" s="170" t="s">
        <v>112</v>
      </c>
      <c r="BS2" s="168" t="s">
        <v>111</v>
      </c>
      <c r="BT2" s="168" t="s">
        <v>112</v>
      </c>
      <c r="BU2" s="168" t="s">
        <v>112</v>
      </c>
      <c r="BV2" s="168" t="s">
        <v>112</v>
      </c>
      <c r="BW2" s="168" t="s">
        <v>112</v>
      </c>
      <c r="BX2" s="168" t="s">
        <v>112</v>
      </c>
      <c r="BY2" s="168" t="s">
        <v>112</v>
      </c>
      <c r="BZ2" s="168" t="s">
        <v>112</v>
      </c>
      <c r="CA2" s="168" t="s">
        <v>112</v>
      </c>
      <c r="CB2" s="170" t="s">
        <v>112</v>
      </c>
      <c r="CC2" s="168" t="s">
        <v>112</v>
      </c>
      <c r="CD2" s="168" t="s">
        <v>112</v>
      </c>
      <c r="CE2" s="168" t="s">
        <v>112</v>
      </c>
      <c r="CF2" s="168" t="s">
        <v>111</v>
      </c>
      <c r="CG2" s="168" t="s">
        <v>112</v>
      </c>
      <c r="CH2" s="168" t="s">
        <v>112</v>
      </c>
      <c r="CI2" s="168" t="s">
        <v>112</v>
      </c>
      <c r="CJ2" s="168" t="s">
        <v>112</v>
      </c>
      <c r="CK2" s="169" t="s">
        <v>112</v>
      </c>
      <c r="CL2" s="171" t="s">
        <v>150</v>
      </c>
    </row>
    <row r="3" spans="1:91">
      <c r="B3" s="97" t="s">
        <v>102</v>
      </c>
      <c r="C3" s="240"/>
      <c r="D3" s="98"/>
      <c r="E3" s="302"/>
      <c r="F3" s="172" t="s">
        <v>110</v>
      </c>
      <c r="G3" s="173" t="s">
        <v>125</v>
      </c>
      <c r="H3" s="173" t="s">
        <v>132</v>
      </c>
      <c r="I3" s="174" t="s">
        <v>142</v>
      </c>
      <c r="J3" s="173"/>
      <c r="K3" s="290">
        <v>1101</v>
      </c>
      <c r="L3" s="291">
        <v>1110</v>
      </c>
      <c r="M3" s="291">
        <v>1121</v>
      </c>
      <c r="N3" s="291">
        <v>1130</v>
      </c>
      <c r="O3" s="291">
        <v>1140</v>
      </c>
      <c r="P3" s="291">
        <v>1150</v>
      </c>
      <c r="Q3" s="291">
        <v>1161</v>
      </c>
      <c r="R3" s="291">
        <v>1170</v>
      </c>
      <c r="S3" s="291">
        <v>1180</v>
      </c>
      <c r="T3" s="291">
        <v>1190</v>
      </c>
      <c r="U3" s="292">
        <v>1200</v>
      </c>
      <c r="V3" s="291">
        <v>2100</v>
      </c>
      <c r="W3" s="291">
        <v>2110</v>
      </c>
      <c r="X3" s="291">
        <v>2121</v>
      </c>
      <c r="Y3" s="291">
        <v>2131</v>
      </c>
      <c r="Z3" s="291">
        <v>2141</v>
      </c>
      <c r="AA3" s="291">
        <v>2150</v>
      </c>
      <c r="AB3" s="292">
        <v>2160</v>
      </c>
      <c r="AC3" s="291">
        <v>3100</v>
      </c>
      <c r="AD3" s="291">
        <v>3110</v>
      </c>
      <c r="AE3" s="291">
        <v>3120</v>
      </c>
      <c r="AF3" s="291">
        <v>3130</v>
      </c>
      <c r="AG3" s="291">
        <v>3140</v>
      </c>
      <c r="AH3" s="291">
        <v>3151</v>
      </c>
      <c r="AI3" s="291">
        <v>3160</v>
      </c>
      <c r="AJ3" s="291">
        <v>3170</v>
      </c>
      <c r="AK3" s="292">
        <v>3180</v>
      </c>
      <c r="AL3" s="291">
        <v>4100</v>
      </c>
      <c r="AM3" s="291">
        <v>4110</v>
      </c>
      <c r="AN3" s="291">
        <v>4120</v>
      </c>
      <c r="AO3" s="291">
        <v>4131</v>
      </c>
      <c r="AP3" s="291">
        <v>4140</v>
      </c>
      <c r="AQ3" s="291">
        <v>4150</v>
      </c>
      <c r="AR3" s="291">
        <v>4160</v>
      </c>
      <c r="AS3" s="293">
        <v>4170</v>
      </c>
      <c r="AT3" s="173" t="s">
        <v>110</v>
      </c>
      <c r="AU3" s="173" t="s">
        <v>114</v>
      </c>
      <c r="AV3" s="173" t="s">
        <v>115</v>
      </c>
      <c r="AW3" s="173" t="s">
        <v>116</v>
      </c>
      <c r="AX3" s="173" t="s">
        <v>113</v>
      </c>
      <c r="AY3" s="173" t="s">
        <v>117</v>
      </c>
      <c r="AZ3" s="173" t="s">
        <v>118</v>
      </c>
      <c r="BA3" s="173" t="s">
        <v>118</v>
      </c>
      <c r="BB3" s="173" t="s">
        <v>119</v>
      </c>
      <c r="BC3" s="173" t="s">
        <v>120</v>
      </c>
      <c r="BD3" s="173" t="s">
        <v>121</v>
      </c>
      <c r="BE3" s="173" t="s">
        <v>122</v>
      </c>
      <c r="BF3" s="175" t="s">
        <v>257</v>
      </c>
      <c r="BG3" s="173" t="s">
        <v>123</v>
      </c>
      <c r="BH3" s="173" t="s">
        <v>125</v>
      </c>
      <c r="BI3" s="173" t="s">
        <v>125</v>
      </c>
      <c r="BJ3" s="173" t="s">
        <v>124</v>
      </c>
      <c r="BK3" s="173" t="s">
        <v>126</v>
      </c>
      <c r="BL3" s="173" t="s">
        <v>127</v>
      </c>
      <c r="BM3" s="173" t="s">
        <v>128</v>
      </c>
      <c r="BN3" s="173" t="s">
        <v>126</v>
      </c>
      <c r="BO3" s="173" t="s">
        <v>129</v>
      </c>
      <c r="BP3" s="173" t="s">
        <v>130</v>
      </c>
      <c r="BQ3" s="173" t="s">
        <v>129</v>
      </c>
      <c r="BR3" s="175" t="s">
        <v>131</v>
      </c>
      <c r="BS3" s="173" t="s">
        <v>132</v>
      </c>
      <c r="BT3" s="173" t="s">
        <v>132</v>
      </c>
      <c r="BU3" s="173" t="s">
        <v>133</v>
      </c>
      <c r="BV3" s="173" t="s">
        <v>134</v>
      </c>
      <c r="BW3" s="173" t="s">
        <v>135</v>
      </c>
      <c r="BX3" s="173" t="s">
        <v>136</v>
      </c>
      <c r="BY3" s="173" t="s">
        <v>137</v>
      </c>
      <c r="BZ3" s="173" t="s">
        <v>138</v>
      </c>
      <c r="CA3" s="173" t="s">
        <v>139</v>
      </c>
      <c r="CB3" s="175" t="s">
        <v>140</v>
      </c>
      <c r="CC3" s="173" t="s">
        <v>141</v>
      </c>
      <c r="CD3" s="173" t="s">
        <v>142</v>
      </c>
      <c r="CE3" s="173" t="s">
        <v>143</v>
      </c>
      <c r="CF3" s="173" t="s">
        <v>144</v>
      </c>
      <c r="CG3" s="173" t="s">
        <v>144</v>
      </c>
      <c r="CH3" s="173" t="s">
        <v>145</v>
      </c>
      <c r="CI3" s="173" t="s">
        <v>146</v>
      </c>
      <c r="CJ3" s="173" t="s">
        <v>147</v>
      </c>
      <c r="CK3" s="174" t="s">
        <v>148</v>
      </c>
      <c r="CL3" s="176" t="s">
        <v>151</v>
      </c>
    </row>
    <row r="4" spans="1:91">
      <c r="B4" s="97"/>
      <c r="C4" s="240"/>
      <c r="D4" s="98"/>
      <c r="E4" s="302"/>
      <c r="F4" s="172" t="s">
        <v>163</v>
      </c>
      <c r="G4" s="173" t="s">
        <v>164</v>
      </c>
      <c r="H4" s="173" t="s">
        <v>165</v>
      </c>
      <c r="I4" s="174" t="s">
        <v>166</v>
      </c>
      <c r="J4" s="173"/>
      <c r="K4" s="172" t="s">
        <v>168</v>
      </c>
      <c r="L4" s="173" t="s">
        <v>169</v>
      </c>
      <c r="M4" s="173" t="s">
        <v>170</v>
      </c>
      <c r="N4" s="173" t="s">
        <v>27</v>
      </c>
      <c r="O4" s="173" t="s">
        <v>40</v>
      </c>
      <c r="P4" s="173" t="s">
        <v>244</v>
      </c>
      <c r="Q4" s="173" t="s">
        <v>219</v>
      </c>
      <c r="R4" s="173" t="s">
        <v>243</v>
      </c>
      <c r="S4" s="173" t="s">
        <v>218</v>
      </c>
      <c r="T4" s="173" t="s">
        <v>171</v>
      </c>
      <c r="U4" s="175" t="s">
        <v>172</v>
      </c>
      <c r="V4" s="173" t="s">
        <v>242</v>
      </c>
      <c r="W4" s="173" t="s">
        <v>173</v>
      </c>
      <c r="X4" s="173" t="s">
        <v>241</v>
      </c>
      <c r="Y4" s="173" t="s">
        <v>240</v>
      </c>
      <c r="Z4" s="173" t="s">
        <v>174</v>
      </c>
      <c r="AA4" s="173" t="s">
        <v>239</v>
      </c>
      <c r="AB4" s="175" t="s">
        <v>16</v>
      </c>
      <c r="AC4" s="173" t="s">
        <v>175</v>
      </c>
      <c r="AD4" s="173" t="s">
        <v>37</v>
      </c>
      <c r="AE4" s="173" t="s">
        <v>238</v>
      </c>
      <c r="AF4" s="173" t="s">
        <v>33</v>
      </c>
      <c r="AG4" s="173" t="s">
        <v>176</v>
      </c>
      <c r="AH4" s="173" t="s">
        <v>177</v>
      </c>
      <c r="AI4" s="173" t="s">
        <v>36</v>
      </c>
      <c r="AJ4" s="173" t="s">
        <v>35</v>
      </c>
      <c r="AK4" s="175" t="s">
        <v>32</v>
      </c>
      <c r="AL4" s="173" t="s">
        <v>178</v>
      </c>
      <c r="AM4" s="173" t="s">
        <v>25</v>
      </c>
      <c r="AN4" s="173" t="s">
        <v>29</v>
      </c>
      <c r="AO4" s="173" t="s">
        <v>179</v>
      </c>
      <c r="AP4" s="173" t="s">
        <v>30</v>
      </c>
      <c r="AQ4" s="173" t="s">
        <v>24</v>
      </c>
      <c r="AR4" s="173" t="s">
        <v>180</v>
      </c>
      <c r="AS4" s="174" t="s">
        <v>237</v>
      </c>
      <c r="AT4" s="173" t="s">
        <v>154</v>
      </c>
      <c r="AU4" s="173" t="s">
        <v>183</v>
      </c>
      <c r="AV4" s="173" t="s">
        <v>184</v>
      </c>
      <c r="AW4" s="173" t="s">
        <v>185</v>
      </c>
      <c r="AX4" s="173" t="s">
        <v>182</v>
      </c>
      <c r="AY4" s="173" t="s">
        <v>44</v>
      </c>
      <c r="AZ4" s="173" t="s">
        <v>152</v>
      </c>
      <c r="BA4" s="173" t="s">
        <v>153</v>
      </c>
      <c r="BB4" s="173" t="s">
        <v>45</v>
      </c>
      <c r="BC4" s="173" t="s">
        <v>26</v>
      </c>
      <c r="BD4" s="173" t="s">
        <v>46</v>
      </c>
      <c r="BE4" s="173" t="s">
        <v>186</v>
      </c>
      <c r="BF4" s="175" t="s">
        <v>39</v>
      </c>
      <c r="BG4" s="173" t="s">
        <v>155</v>
      </c>
      <c r="BH4" s="173" t="s">
        <v>156</v>
      </c>
      <c r="BI4" s="173" t="s">
        <v>157</v>
      </c>
      <c r="BJ4" s="173" t="s">
        <v>187</v>
      </c>
      <c r="BK4" s="173" t="s">
        <v>158</v>
      </c>
      <c r="BL4" s="173" t="s">
        <v>159</v>
      </c>
      <c r="BM4" s="173" t="s">
        <v>47</v>
      </c>
      <c r="BN4" s="173" t="s">
        <v>48</v>
      </c>
      <c r="BO4" s="173" t="s">
        <v>160</v>
      </c>
      <c r="BP4" s="173" t="s">
        <v>188</v>
      </c>
      <c r="BQ4" s="173" t="s">
        <v>41</v>
      </c>
      <c r="BR4" s="175" t="s">
        <v>38</v>
      </c>
      <c r="BS4" s="173" t="s">
        <v>161</v>
      </c>
      <c r="BT4" s="173" t="s">
        <v>213</v>
      </c>
      <c r="BU4" s="173" t="s">
        <v>189</v>
      </c>
      <c r="BV4" s="173" t="s">
        <v>28</v>
      </c>
      <c r="BW4" s="173" t="s">
        <v>190</v>
      </c>
      <c r="BX4" s="173" t="s">
        <v>49</v>
      </c>
      <c r="BY4" s="173" t="s">
        <v>191</v>
      </c>
      <c r="BZ4" s="173" t="s">
        <v>34</v>
      </c>
      <c r="CA4" s="173" t="s">
        <v>192</v>
      </c>
      <c r="CB4" s="175" t="s">
        <v>193</v>
      </c>
      <c r="CC4" s="173" t="s">
        <v>31</v>
      </c>
      <c r="CD4" s="173" t="s">
        <v>194</v>
      </c>
      <c r="CE4" s="173" t="s">
        <v>50</v>
      </c>
      <c r="CF4" s="173" t="s">
        <v>162</v>
      </c>
      <c r="CG4" s="173" t="s">
        <v>51</v>
      </c>
      <c r="CH4" s="173" t="s">
        <v>195</v>
      </c>
      <c r="CI4" s="173" t="s">
        <v>52</v>
      </c>
      <c r="CJ4" s="173" t="s">
        <v>196</v>
      </c>
      <c r="CK4" s="174" t="s">
        <v>197</v>
      </c>
      <c r="CL4" s="176" t="s">
        <v>55</v>
      </c>
    </row>
    <row r="5" spans="1:91">
      <c r="A5" s="93">
        <f>ROWS($A$3:A3)</f>
        <v>1</v>
      </c>
      <c r="B5" s="132"/>
      <c r="C5" s="133"/>
      <c r="D5" s="326"/>
      <c r="E5" s="327"/>
      <c r="F5" s="232">
        <f>COLUMNS($F$5:F5)</f>
        <v>1</v>
      </c>
      <c r="G5" s="232">
        <f>COLUMNS($F$5:G5)</f>
        <v>2</v>
      </c>
      <c r="H5" s="232">
        <f>COLUMNS($F$5:H5)</f>
        <v>3</v>
      </c>
      <c r="I5" s="233">
        <f>COLUMNS($F$5:I5)</f>
        <v>4</v>
      </c>
      <c r="J5" s="232">
        <f>COLUMNS($F$5:J5)</f>
        <v>5</v>
      </c>
      <c r="K5" s="232">
        <f>COLUMNS($F$5:K5)</f>
        <v>6</v>
      </c>
      <c r="L5" s="232">
        <f>COLUMNS($F$5:L5)</f>
        <v>7</v>
      </c>
      <c r="M5" s="232">
        <f>COLUMNS($F$5:M5)</f>
        <v>8</v>
      </c>
      <c r="N5" s="232">
        <f>COLUMNS($F$5:N5)</f>
        <v>9</v>
      </c>
      <c r="O5" s="232">
        <f>COLUMNS($F$5:O5)</f>
        <v>10</v>
      </c>
      <c r="P5" s="232">
        <f>COLUMNS($F$5:P5)</f>
        <v>11</v>
      </c>
      <c r="Q5" s="232">
        <f>COLUMNS($F$5:Q5)</f>
        <v>12</v>
      </c>
      <c r="R5" s="232">
        <f>COLUMNS($F$5:R5)</f>
        <v>13</v>
      </c>
      <c r="S5" s="232">
        <f>COLUMNS($F$5:S5)</f>
        <v>14</v>
      </c>
      <c r="T5" s="232">
        <f>COLUMNS($F$5:T5)</f>
        <v>15</v>
      </c>
      <c r="U5" s="234">
        <f>COLUMNS($F$5:U5)</f>
        <v>16</v>
      </c>
      <c r="V5" s="232">
        <f>COLUMNS($F$5:V5)</f>
        <v>17</v>
      </c>
      <c r="W5" s="232">
        <f>COLUMNS($F$5:W5)</f>
        <v>18</v>
      </c>
      <c r="X5" s="232">
        <f>COLUMNS($F$5:X5)</f>
        <v>19</v>
      </c>
      <c r="Y5" s="232">
        <f>COLUMNS($F$5:Y5)</f>
        <v>20</v>
      </c>
      <c r="Z5" s="232">
        <f>COLUMNS($F$5:Z5)</f>
        <v>21</v>
      </c>
      <c r="AA5" s="232">
        <f>COLUMNS($F$5:AA5)</f>
        <v>22</v>
      </c>
      <c r="AB5" s="234">
        <f>COLUMNS($F$5:AB5)</f>
        <v>23</v>
      </c>
      <c r="AC5" s="232">
        <f>COLUMNS($F$5:AC5)</f>
        <v>24</v>
      </c>
      <c r="AD5" s="232">
        <f>COLUMNS($F$5:AD5)</f>
        <v>25</v>
      </c>
      <c r="AE5" s="232">
        <f>COLUMNS($F$5:AE5)</f>
        <v>26</v>
      </c>
      <c r="AF5" s="232">
        <f>COLUMNS($F$5:AF5)</f>
        <v>27</v>
      </c>
      <c r="AG5" s="232">
        <f>COLUMNS($F$5:AG5)</f>
        <v>28</v>
      </c>
      <c r="AH5" s="232">
        <f>COLUMNS($F$5:AH5)</f>
        <v>29</v>
      </c>
      <c r="AI5" s="232">
        <f>COLUMNS($F$5:AI5)</f>
        <v>30</v>
      </c>
      <c r="AJ5" s="232">
        <f>COLUMNS($F$5:AJ5)</f>
        <v>31</v>
      </c>
      <c r="AK5" s="234">
        <f>COLUMNS($F$5:AK5)</f>
        <v>32</v>
      </c>
      <c r="AL5" s="232">
        <f>COLUMNS($F$5:AL5)</f>
        <v>33</v>
      </c>
      <c r="AM5" s="232">
        <f>COLUMNS($F$5:AM5)</f>
        <v>34</v>
      </c>
      <c r="AN5" s="232">
        <f>COLUMNS($F$5:AN5)</f>
        <v>35</v>
      </c>
      <c r="AO5" s="232">
        <f>COLUMNS($F$5:AO5)</f>
        <v>36</v>
      </c>
      <c r="AP5" s="232">
        <f>COLUMNS($F$5:AP5)</f>
        <v>37</v>
      </c>
      <c r="AQ5" s="232">
        <f>COLUMNS($F$5:AQ5)</f>
        <v>38</v>
      </c>
      <c r="AR5" s="232">
        <f>COLUMNS($F$5:AR5)</f>
        <v>39</v>
      </c>
      <c r="AS5" s="233">
        <f>COLUMNS($F$5:AS5)</f>
        <v>40</v>
      </c>
      <c r="AT5" s="232">
        <f>COLUMNS($F$5:AT5)</f>
        <v>41</v>
      </c>
      <c r="AU5" s="232">
        <f>COLUMNS($F$5:AU5)</f>
        <v>42</v>
      </c>
      <c r="AV5" s="232">
        <f>COLUMNS($F$5:AV5)</f>
        <v>43</v>
      </c>
      <c r="AW5" s="232">
        <f>COLUMNS($F$5:AW5)</f>
        <v>44</v>
      </c>
      <c r="AX5" s="232">
        <f>COLUMNS($F$5:AX5)</f>
        <v>45</v>
      </c>
      <c r="AY5" s="232">
        <f>COLUMNS($F$5:AY5)</f>
        <v>46</v>
      </c>
      <c r="AZ5" s="232">
        <f>COLUMNS($F$5:AZ5)</f>
        <v>47</v>
      </c>
      <c r="BA5" s="232">
        <f>COLUMNS($F$5:BA5)</f>
        <v>48</v>
      </c>
      <c r="BB5" s="232">
        <f>COLUMNS($F$5:BB5)</f>
        <v>49</v>
      </c>
      <c r="BC5" s="232">
        <f>COLUMNS($F$5:BC5)</f>
        <v>50</v>
      </c>
      <c r="BD5" s="232">
        <f>COLUMNS($F$5:BD5)</f>
        <v>51</v>
      </c>
      <c r="BE5" s="232">
        <f>COLUMNS($F$5:BE5)</f>
        <v>52</v>
      </c>
      <c r="BF5" s="234">
        <f>COLUMNS($F$5:BF5)</f>
        <v>53</v>
      </c>
      <c r="BG5" s="232">
        <f>COLUMNS($F$5:BG5)</f>
        <v>54</v>
      </c>
      <c r="BH5" s="232">
        <f>COLUMNS($F$5:BH5)</f>
        <v>55</v>
      </c>
      <c r="BI5" s="232">
        <f>COLUMNS($F$5:BI5)</f>
        <v>56</v>
      </c>
      <c r="BJ5" s="232">
        <f>COLUMNS($F$5:BJ5)</f>
        <v>57</v>
      </c>
      <c r="BK5" s="232">
        <f>COLUMNS($F$5:BK5)</f>
        <v>58</v>
      </c>
      <c r="BL5" s="232">
        <f>COLUMNS($F$5:BL5)</f>
        <v>59</v>
      </c>
      <c r="BM5" s="232">
        <f>COLUMNS($F$5:BM5)</f>
        <v>60</v>
      </c>
      <c r="BN5" s="232">
        <f>COLUMNS($F$5:BN5)</f>
        <v>61</v>
      </c>
      <c r="BO5" s="232">
        <f>COLUMNS($F$5:BO5)</f>
        <v>62</v>
      </c>
      <c r="BP5" s="232">
        <f>COLUMNS($F$5:BP5)</f>
        <v>63</v>
      </c>
      <c r="BQ5" s="232">
        <f>COLUMNS($F$5:BQ5)</f>
        <v>64</v>
      </c>
      <c r="BR5" s="234">
        <f>COLUMNS($F$5:BR5)</f>
        <v>65</v>
      </c>
      <c r="BS5" s="232">
        <f>COLUMNS($F$5:BS5)</f>
        <v>66</v>
      </c>
      <c r="BT5" s="232">
        <f>COLUMNS($F$5:BT5)</f>
        <v>67</v>
      </c>
      <c r="BU5" s="232">
        <f>COLUMNS($F$5:BU5)</f>
        <v>68</v>
      </c>
      <c r="BV5" s="232">
        <f>COLUMNS($F$5:BV5)</f>
        <v>69</v>
      </c>
      <c r="BW5" s="232">
        <f>COLUMNS($F$5:BW5)</f>
        <v>70</v>
      </c>
      <c r="BX5" s="232">
        <f>COLUMNS($F$5:BX5)</f>
        <v>71</v>
      </c>
      <c r="BY5" s="232">
        <f>COLUMNS($F$5:BY5)</f>
        <v>72</v>
      </c>
      <c r="BZ5" s="232">
        <f>COLUMNS($F$5:BZ5)</f>
        <v>73</v>
      </c>
      <c r="CA5" s="232">
        <f>COLUMNS($F$5:CA5)</f>
        <v>74</v>
      </c>
      <c r="CB5" s="234">
        <f>COLUMNS($F$5:CB5)</f>
        <v>75</v>
      </c>
      <c r="CC5" s="232">
        <f>COLUMNS($F$5:CC5)</f>
        <v>76</v>
      </c>
      <c r="CD5" s="232">
        <f>COLUMNS($F$5:CD5)</f>
        <v>77</v>
      </c>
      <c r="CE5" s="232">
        <f>COLUMNS($F$5:CE5)</f>
        <v>78</v>
      </c>
      <c r="CF5" s="232">
        <f>COLUMNS($F$5:CF5)</f>
        <v>79</v>
      </c>
      <c r="CG5" s="232">
        <f>COLUMNS($F$5:CG5)</f>
        <v>80</v>
      </c>
      <c r="CH5" s="232">
        <f>COLUMNS($F$5:CH5)</f>
        <v>81</v>
      </c>
      <c r="CI5" s="232">
        <f>COLUMNS($F$5:CI5)</f>
        <v>82</v>
      </c>
      <c r="CJ5" s="232">
        <f>COLUMNS($F$5:CJ5)</f>
        <v>83</v>
      </c>
      <c r="CK5" s="233">
        <f>COLUMNS($F$5:CK5)</f>
        <v>84</v>
      </c>
      <c r="CL5" s="233">
        <f>COLUMNS($F$5:CL5)</f>
        <v>85</v>
      </c>
      <c r="CM5" s="131"/>
    </row>
    <row r="6" spans="1:91">
      <c r="A6" s="93">
        <f>ROWS($A$3:A4)</f>
        <v>2</v>
      </c>
      <c r="B6" s="67" t="s">
        <v>108</v>
      </c>
      <c r="C6" s="241"/>
      <c r="D6" s="321"/>
      <c r="E6" s="320"/>
      <c r="F6" s="156"/>
      <c r="G6" s="177"/>
      <c r="H6" s="177"/>
      <c r="I6" s="178"/>
      <c r="J6" s="177"/>
      <c r="K6" s="156"/>
      <c r="L6" s="177"/>
      <c r="M6" s="177"/>
      <c r="N6" s="177"/>
      <c r="O6" s="177"/>
      <c r="P6" s="177"/>
      <c r="Q6" s="177"/>
      <c r="R6" s="177"/>
      <c r="S6" s="177"/>
      <c r="T6" s="177"/>
      <c r="U6" s="179"/>
      <c r="V6" s="177"/>
      <c r="W6" s="177"/>
      <c r="X6" s="177"/>
      <c r="Y6" s="177"/>
      <c r="Z6" s="177"/>
      <c r="AA6" s="177"/>
      <c r="AB6" s="179"/>
      <c r="AC6" s="177"/>
      <c r="AD6" s="177"/>
      <c r="AE6" s="177"/>
      <c r="AF6" s="177"/>
      <c r="AG6" s="177"/>
      <c r="AH6" s="177"/>
      <c r="AI6" s="177"/>
      <c r="AJ6" s="177"/>
      <c r="AK6" s="179"/>
      <c r="AL6" s="177"/>
      <c r="AM6" s="177"/>
      <c r="AN6" s="177"/>
      <c r="AO6" s="177"/>
      <c r="AP6" s="177"/>
      <c r="AQ6" s="177"/>
      <c r="AR6" s="177"/>
      <c r="AS6" s="178"/>
      <c r="AT6" s="177"/>
      <c r="AU6" s="177"/>
      <c r="AV6" s="177"/>
      <c r="AW6" s="177"/>
      <c r="AX6" s="177"/>
      <c r="AY6" s="177"/>
      <c r="AZ6" s="177"/>
      <c r="BA6" s="177"/>
      <c r="BB6" s="177"/>
      <c r="BC6" s="177"/>
      <c r="BD6" s="177"/>
      <c r="BE6" s="177"/>
      <c r="BF6" s="179"/>
      <c r="BG6" s="177"/>
      <c r="BH6" s="177"/>
      <c r="BI6" s="177"/>
      <c r="BJ6" s="177"/>
      <c r="BK6" s="177"/>
      <c r="BL6" s="177"/>
      <c r="BM6" s="177"/>
      <c r="BN6" s="177"/>
      <c r="BO6" s="177"/>
      <c r="BP6" s="177"/>
      <c r="BQ6" s="177"/>
      <c r="BR6" s="179"/>
      <c r="BS6" s="177"/>
      <c r="BT6" s="177"/>
      <c r="BU6" s="177"/>
      <c r="BV6" s="177"/>
      <c r="BW6" s="177"/>
      <c r="BX6" s="177"/>
      <c r="BY6" s="177"/>
      <c r="BZ6" s="177"/>
      <c r="CA6" s="177"/>
      <c r="CB6" s="179"/>
      <c r="CC6" s="177"/>
      <c r="CD6" s="177"/>
      <c r="CE6" s="177"/>
      <c r="CF6" s="177"/>
      <c r="CG6" s="177"/>
      <c r="CH6" s="177"/>
      <c r="CI6" s="177"/>
      <c r="CJ6" s="177"/>
      <c r="CK6" s="178"/>
      <c r="CL6" s="180"/>
    </row>
    <row r="7" spans="1:91">
      <c r="A7" s="93">
        <f>ROWS($A$3:A5)</f>
        <v>3</v>
      </c>
      <c r="B7" s="106" t="s">
        <v>63</v>
      </c>
      <c r="C7" s="242">
        <v>2010</v>
      </c>
      <c r="D7" s="319" t="s">
        <v>1</v>
      </c>
      <c r="E7" s="320"/>
      <c r="F7" s="156">
        <v>1055770</v>
      </c>
      <c r="G7" s="177">
        <v>691908</v>
      </c>
      <c r="H7" s="177">
        <v>934708</v>
      </c>
      <c r="I7" s="178">
        <v>891767</v>
      </c>
      <c r="J7" s="177"/>
      <c r="K7" s="156">
        <f t="shared" ref="K7:K20" si="0">BF7</f>
        <v>151158</v>
      </c>
      <c r="L7" s="177">
        <f t="shared" ref="L7:L20" si="1">AY7</f>
        <v>85814</v>
      </c>
      <c r="M7" s="177">
        <f t="shared" ref="M7:M20" si="2">BD7</f>
        <v>130441</v>
      </c>
      <c r="N7" s="177">
        <f t="shared" ref="N7:N20" si="3">AW7</f>
        <v>64237</v>
      </c>
      <c r="O7" s="177">
        <f t="shared" ref="O7:O20" si="4">BE7</f>
        <v>62712</v>
      </c>
      <c r="P7" s="177">
        <f>'2011'!AZ7+'2011'!BA7</f>
        <v>119981</v>
      </c>
      <c r="Q7" s="177">
        <f>'2011'!AU7</f>
        <v>61785</v>
      </c>
      <c r="R7" s="177">
        <f>AT7+AX7</f>
        <v>89417</v>
      </c>
      <c r="S7" s="177">
        <f t="shared" ref="S7:S20" si="5">AV7</f>
        <v>64148</v>
      </c>
      <c r="T7" s="177">
        <f t="shared" ref="T7:T20" si="6">BB7</f>
        <v>77676</v>
      </c>
      <c r="U7" s="179">
        <f t="shared" ref="U7:U20" si="7">BC7</f>
        <v>148401</v>
      </c>
      <c r="V7" s="177">
        <f t="shared" ref="V7:V13" si="8">BG7+BJ7</f>
        <v>87896</v>
      </c>
      <c r="W7" s="177">
        <f t="shared" ref="W7:W20" si="9">BR7</f>
        <v>87068</v>
      </c>
      <c r="X7" s="177">
        <f t="shared" ref="X7:X13" si="10">BH7+BI7</f>
        <v>125846</v>
      </c>
      <c r="Y7" s="177">
        <f t="shared" ref="Y7:Y13" si="11">BK7+BL7+BN7</f>
        <v>131550</v>
      </c>
      <c r="Z7" s="177">
        <f t="shared" ref="Z7:Z20" si="12">BM7</f>
        <v>112628</v>
      </c>
      <c r="AA7" s="177">
        <f t="shared" ref="AA7:AA13" si="13">BO7+BQ7</f>
        <v>67168</v>
      </c>
      <c r="AB7" s="179">
        <f t="shared" ref="AB7:AB20" si="14">BP7</f>
        <v>79751</v>
      </c>
      <c r="AC7" s="177">
        <f t="shared" ref="AC7:AC20" si="15">BX7</f>
        <v>102527</v>
      </c>
      <c r="AD7" s="177">
        <f t="shared" ref="AD7:AD20" si="16">BU7</f>
        <v>67988</v>
      </c>
      <c r="AE7" s="177">
        <f t="shared" ref="AE7:AE13" si="17">BS7+BT7</f>
        <v>153139</v>
      </c>
      <c r="AF7" s="177">
        <f t="shared" ref="AF7:AF20" si="18">CA7</f>
        <v>80677</v>
      </c>
      <c r="AG7" s="177">
        <f t="shared" ref="AG7:AG20" si="19">BV7</f>
        <v>185085</v>
      </c>
      <c r="AH7" s="177">
        <f t="shared" ref="AH7:AH20" si="20">BZ7</f>
        <v>81798</v>
      </c>
      <c r="AI7" s="177">
        <f t="shared" ref="AI7:AI20" si="21">BW7</f>
        <v>76943</v>
      </c>
      <c r="AJ7" s="177">
        <f t="shared" ref="AJ7:AJ20" si="22">BY7</f>
        <v>73435</v>
      </c>
      <c r="AK7" s="179">
        <f t="shared" ref="AK7:AK20" si="23">CB7</f>
        <v>113116</v>
      </c>
      <c r="AL7" s="177">
        <f t="shared" ref="AL7:AL20" si="24">CE7</f>
        <v>91772</v>
      </c>
      <c r="AM7" s="177">
        <f t="shared" ref="AM7:AM20" si="25">CH7</f>
        <v>140975</v>
      </c>
      <c r="AN7" s="177">
        <f t="shared" ref="AN7:AN20" si="26">CJ7</f>
        <v>163183</v>
      </c>
      <c r="AO7" s="177">
        <f t="shared" ref="AO7:AO20" si="27">CC7</f>
        <v>109404</v>
      </c>
      <c r="AP7" s="177">
        <f t="shared" ref="AP7:AP20" si="28">CD7</f>
        <v>51918</v>
      </c>
      <c r="AQ7" s="177">
        <f t="shared" ref="AQ7:AQ20" si="29">CK7</f>
        <v>120436</v>
      </c>
      <c r="AR7" s="177">
        <f t="shared" ref="AR7:AR20" si="30">CI7</f>
        <v>66479</v>
      </c>
      <c r="AS7" s="178">
        <f t="shared" ref="AS7:AS13" si="31">CF7+CG7</f>
        <v>147601</v>
      </c>
      <c r="AT7" s="177">
        <v>20735</v>
      </c>
      <c r="AU7" s="177">
        <v>61785</v>
      </c>
      <c r="AV7" s="177">
        <v>64148</v>
      </c>
      <c r="AW7" s="177">
        <v>64237</v>
      </c>
      <c r="AX7" s="177">
        <v>68682</v>
      </c>
      <c r="AY7" s="177">
        <v>85814</v>
      </c>
      <c r="AZ7" s="177">
        <v>9988</v>
      </c>
      <c r="BA7" s="177">
        <v>109993</v>
      </c>
      <c r="BB7" s="177">
        <v>77676</v>
      </c>
      <c r="BC7" s="177">
        <v>148401</v>
      </c>
      <c r="BD7" s="177">
        <v>130441</v>
      </c>
      <c r="BE7" s="177">
        <v>62712</v>
      </c>
      <c r="BF7" s="179">
        <v>151158</v>
      </c>
      <c r="BG7" s="177">
        <v>14021</v>
      </c>
      <c r="BH7" s="177">
        <v>17346</v>
      </c>
      <c r="BI7" s="177">
        <v>108500</v>
      </c>
      <c r="BJ7" s="177">
        <v>73875</v>
      </c>
      <c r="BK7" s="177">
        <v>10883</v>
      </c>
      <c r="BL7" s="177">
        <v>14496</v>
      </c>
      <c r="BM7" s="177">
        <v>112628</v>
      </c>
      <c r="BN7" s="177">
        <v>106171</v>
      </c>
      <c r="BO7" s="177">
        <v>9800</v>
      </c>
      <c r="BP7" s="177">
        <v>79751</v>
      </c>
      <c r="BQ7" s="177">
        <v>57368</v>
      </c>
      <c r="BR7" s="179">
        <v>87068</v>
      </c>
      <c r="BS7" s="177">
        <v>15306</v>
      </c>
      <c r="BT7" s="177">
        <v>137833</v>
      </c>
      <c r="BU7" s="177">
        <v>67988</v>
      </c>
      <c r="BV7" s="177">
        <v>185085</v>
      </c>
      <c r="BW7" s="177">
        <v>76943</v>
      </c>
      <c r="BX7" s="177">
        <v>102527</v>
      </c>
      <c r="BY7" s="177">
        <v>73435</v>
      </c>
      <c r="BZ7" s="177">
        <v>81798</v>
      </c>
      <c r="CA7" s="177">
        <v>80677</v>
      </c>
      <c r="CB7" s="179">
        <v>113116</v>
      </c>
      <c r="CC7" s="177">
        <v>109404</v>
      </c>
      <c r="CD7" s="177">
        <v>51918</v>
      </c>
      <c r="CE7" s="177">
        <v>91772</v>
      </c>
      <c r="CF7" s="177">
        <v>11869</v>
      </c>
      <c r="CG7" s="181">
        <v>135732</v>
      </c>
      <c r="CH7" s="177">
        <v>140975</v>
      </c>
      <c r="CI7" s="177">
        <v>66479</v>
      </c>
      <c r="CJ7" s="177">
        <v>163183</v>
      </c>
      <c r="CK7" s="178">
        <v>120436</v>
      </c>
      <c r="CL7" s="180">
        <v>3575148</v>
      </c>
      <c r="CM7" s="56"/>
    </row>
    <row r="8" spans="1:91" ht="14.25">
      <c r="A8" s="93">
        <f>ROWS($A$3:A6)</f>
        <v>4</v>
      </c>
      <c r="B8" s="106" t="s">
        <v>261</v>
      </c>
      <c r="C8" s="243"/>
      <c r="D8" s="319" t="s">
        <v>1</v>
      </c>
      <c r="E8" s="320"/>
      <c r="F8" s="156">
        <v>172034</v>
      </c>
      <c r="G8" s="177">
        <v>112780</v>
      </c>
      <c r="H8" s="177">
        <v>112040</v>
      </c>
      <c r="I8" s="178">
        <v>108519</v>
      </c>
      <c r="J8" s="177"/>
      <c r="K8" s="156">
        <f t="shared" si="0"/>
        <v>18967</v>
      </c>
      <c r="L8" s="177">
        <f t="shared" si="1"/>
        <v>14887</v>
      </c>
      <c r="M8" s="177">
        <f t="shared" si="2"/>
        <v>14051</v>
      </c>
      <c r="N8" s="177">
        <f t="shared" si="3"/>
        <v>10508</v>
      </c>
      <c r="O8" s="177">
        <f t="shared" si="4"/>
        <v>7825</v>
      </c>
      <c r="P8" s="177">
        <f>'2011'!AZ8+'2011'!BA8</f>
        <v>22380</v>
      </c>
      <c r="Q8" s="177">
        <f>'2011'!AU8</f>
        <v>13720</v>
      </c>
      <c r="R8" s="177">
        <f>AT8+AX8</f>
        <v>27158</v>
      </c>
      <c r="S8" s="177">
        <f t="shared" si="5"/>
        <v>15715</v>
      </c>
      <c r="T8" s="177">
        <f t="shared" si="6"/>
        <v>9928</v>
      </c>
      <c r="U8" s="179">
        <f t="shared" si="7"/>
        <v>16895</v>
      </c>
      <c r="V8" s="177">
        <f t="shared" si="8"/>
        <v>12357</v>
      </c>
      <c r="W8" s="177">
        <f t="shared" si="9"/>
        <v>8228</v>
      </c>
      <c r="X8" s="177">
        <f t="shared" si="10"/>
        <v>27238</v>
      </c>
      <c r="Y8" s="177">
        <f t="shared" si="11"/>
        <v>32175</v>
      </c>
      <c r="Z8" s="177">
        <f t="shared" si="12"/>
        <v>11913</v>
      </c>
      <c r="AA8" s="177">
        <f t="shared" si="13"/>
        <v>12100</v>
      </c>
      <c r="AB8" s="179">
        <f t="shared" si="14"/>
        <v>8770</v>
      </c>
      <c r="AC8" s="177">
        <f t="shared" si="15"/>
        <v>11684</v>
      </c>
      <c r="AD8" s="177">
        <f t="shared" si="16"/>
        <v>7360</v>
      </c>
      <c r="AE8" s="177">
        <f t="shared" si="17"/>
        <v>19067</v>
      </c>
      <c r="AF8" s="177">
        <f t="shared" si="18"/>
        <v>10135</v>
      </c>
      <c r="AG8" s="177">
        <f t="shared" si="19"/>
        <v>21550</v>
      </c>
      <c r="AH8" s="177">
        <f t="shared" si="20"/>
        <v>12514</v>
      </c>
      <c r="AI8" s="177">
        <f t="shared" si="21"/>
        <v>9826</v>
      </c>
      <c r="AJ8" s="177">
        <f t="shared" si="22"/>
        <v>8469</v>
      </c>
      <c r="AK8" s="179">
        <f t="shared" si="23"/>
        <v>11435</v>
      </c>
      <c r="AL8" s="177">
        <f t="shared" si="24"/>
        <v>12156</v>
      </c>
      <c r="AM8" s="177">
        <f t="shared" si="25"/>
        <v>15857</v>
      </c>
      <c r="AN8" s="177">
        <f t="shared" si="26"/>
        <v>16806</v>
      </c>
      <c r="AO8" s="177">
        <f t="shared" si="27"/>
        <v>14176</v>
      </c>
      <c r="AP8" s="177">
        <f t="shared" si="28"/>
        <v>9148</v>
      </c>
      <c r="AQ8" s="177">
        <f t="shared" si="29"/>
        <v>11674</v>
      </c>
      <c r="AR8" s="177">
        <f t="shared" si="30"/>
        <v>9664</v>
      </c>
      <c r="AS8" s="178">
        <f t="shared" si="31"/>
        <v>19037</v>
      </c>
      <c r="AT8" s="177">
        <v>10656</v>
      </c>
      <c r="AU8" s="177">
        <v>13720</v>
      </c>
      <c r="AV8" s="177">
        <v>15715</v>
      </c>
      <c r="AW8" s="177">
        <v>10508</v>
      </c>
      <c r="AX8" s="177">
        <v>16502</v>
      </c>
      <c r="AY8" s="177">
        <v>14887</v>
      </c>
      <c r="AZ8" s="177">
        <v>3537</v>
      </c>
      <c r="BA8" s="177">
        <v>18843</v>
      </c>
      <c r="BB8" s="177">
        <v>9928</v>
      </c>
      <c r="BC8" s="177">
        <v>16895</v>
      </c>
      <c r="BD8" s="177">
        <v>14051</v>
      </c>
      <c r="BE8" s="177">
        <v>7825</v>
      </c>
      <c r="BF8" s="179">
        <v>18967</v>
      </c>
      <c r="BG8" s="177">
        <v>2036</v>
      </c>
      <c r="BH8" s="177">
        <v>8034</v>
      </c>
      <c r="BI8" s="177">
        <v>19204</v>
      </c>
      <c r="BJ8" s="177">
        <v>10321</v>
      </c>
      <c r="BK8" s="177">
        <v>3273</v>
      </c>
      <c r="BL8" s="177">
        <v>8417</v>
      </c>
      <c r="BM8" s="177">
        <v>11913</v>
      </c>
      <c r="BN8" s="177">
        <v>20485</v>
      </c>
      <c r="BO8" s="177">
        <v>3005</v>
      </c>
      <c r="BP8" s="177">
        <v>8770</v>
      </c>
      <c r="BQ8" s="177">
        <v>9095</v>
      </c>
      <c r="BR8" s="179">
        <v>8228</v>
      </c>
      <c r="BS8" s="177">
        <v>4861</v>
      </c>
      <c r="BT8" s="177">
        <v>14206</v>
      </c>
      <c r="BU8" s="177">
        <v>7360</v>
      </c>
      <c r="BV8" s="177">
        <v>21550</v>
      </c>
      <c r="BW8" s="177">
        <v>9826</v>
      </c>
      <c r="BX8" s="177">
        <v>11684</v>
      </c>
      <c r="BY8" s="177">
        <v>8469</v>
      </c>
      <c r="BZ8" s="177">
        <v>12514</v>
      </c>
      <c r="CA8" s="177">
        <v>10135</v>
      </c>
      <c r="CB8" s="179">
        <v>11435</v>
      </c>
      <c r="CC8" s="177">
        <v>14176</v>
      </c>
      <c r="CD8" s="177">
        <v>9148</v>
      </c>
      <c r="CE8" s="177">
        <v>12156</v>
      </c>
      <c r="CF8" s="177">
        <v>3771</v>
      </c>
      <c r="CG8" s="181">
        <v>15266</v>
      </c>
      <c r="CH8" s="177">
        <v>15857</v>
      </c>
      <c r="CI8" s="177">
        <v>9664</v>
      </c>
      <c r="CJ8" s="177">
        <v>16806</v>
      </c>
      <c r="CK8" s="178">
        <v>11674</v>
      </c>
      <c r="CL8" s="180">
        <v>505380</v>
      </c>
      <c r="CM8" s="56"/>
    </row>
    <row r="9" spans="1:91">
      <c r="A9" s="93">
        <f>ROWS($A$3:A7)</f>
        <v>5</v>
      </c>
      <c r="B9" s="106" t="s">
        <v>0</v>
      </c>
      <c r="C9" s="243"/>
      <c r="D9" s="319" t="s">
        <v>1</v>
      </c>
      <c r="E9" s="320"/>
      <c r="F9" s="156">
        <v>532839</v>
      </c>
      <c r="G9" s="177">
        <v>253002</v>
      </c>
      <c r="H9" s="177">
        <v>372317</v>
      </c>
      <c r="I9" s="178">
        <v>477234</v>
      </c>
      <c r="J9" s="177"/>
      <c r="K9" s="156">
        <f t="shared" si="0"/>
        <v>71430</v>
      </c>
      <c r="L9" s="177">
        <f t="shared" si="1"/>
        <v>36332</v>
      </c>
      <c r="M9" s="177">
        <f t="shared" si="2"/>
        <v>75457</v>
      </c>
      <c r="N9" s="177">
        <f t="shared" si="3"/>
        <v>32300</v>
      </c>
      <c r="O9" s="177">
        <f t="shared" si="4"/>
        <v>27228</v>
      </c>
      <c r="P9" s="177">
        <f>'2011'!AZ9+'2011'!BA9</f>
        <v>65920</v>
      </c>
      <c r="Q9" s="177">
        <f>'2011'!AU9</f>
        <v>25858</v>
      </c>
      <c r="R9" s="177">
        <f t="shared" ref="R9:R16" si="32">AT9+AX9</f>
        <v>42861</v>
      </c>
      <c r="S9" s="177">
        <f t="shared" si="5"/>
        <v>28660</v>
      </c>
      <c r="T9" s="177">
        <f t="shared" si="6"/>
        <v>44522</v>
      </c>
      <c r="U9" s="179">
        <f t="shared" si="7"/>
        <v>82270</v>
      </c>
      <c r="V9" s="177">
        <f t="shared" si="8"/>
        <v>25976</v>
      </c>
      <c r="W9" s="177">
        <f t="shared" si="9"/>
        <v>23114</v>
      </c>
      <c r="X9" s="177">
        <f t="shared" si="10"/>
        <v>52752</v>
      </c>
      <c r="Y9" s="177">
        <f t="shared" si="11"/>
        <v>51314</v>
      </c>
      <c r="Z9" s="177">
        <f t="shared" si="12"/>
        <v>51845</v>
      </c>
      <c r="AA9" s="177">
        <f t="shared" si="13"/>
        <v>27142</v>
      </c>
      <c r="AB9" s="179">
        <f t="shared" si="14"/>
        <v>20859</v>
      </c>
      <c r="AC9" s="177">
        <f t="shared" si="15"/>
        <v>42763</v>
      </c>
      <c r="AD9" s="177">
        <f t="shared" si="16"/>
        <v>27627</v>
      </c>
      <c r="AE9" s="177">
        <f t="shared" si="17"/>
        <v>58647</v>
      </c>
      <c r="AF9" s="177">
        <f t="shared" si="18"/>
        <v>27716</v>
      </c>
      <c r="AG9" s="177">
        <f t="shared" si="19"/>
        <v>70761</v>
      </c>
      <c r="AH9" s="177">
        <f t="shared" si="20"/>
        <v>40439</v>
      </c>
      <c r="AI9" s="177">
        <f t="shared" si="21"/>
        <v>32882</v>
      </c>
      <c r="AJ9" s="177">
        <f t="shared" si="22"/>
        <v>27386</v>
      </c>
      <c r="AK9" s="179">
        <f t="shared" si="23"/>
        <v>44097</v>
      </c>
      <c r="AL9" s="177">
        <f t="shared" si="24"/>
        <v>41156</v>
      </c>
      <c r="AM9" s="177">
        <f t="shared" si="25"/>
        <v>82506</v>
      </c>
      <c r="AN9" s="177">
        <f t="shared" si="26"/>
        <v>96550</v>
      </c>
      <c r="AO9" s="177">
        <f t="shared" si="27"/>
        <v>52852</v>
      </c>
      <c r="AP9" s="177">
        <f t="shared" si="28"/>
        <v>23945</v>
      </c>
      <c r="AQ9" s="177">
        <f t="shared" si="29"/>
        <v>59927</v>
      </c>
      <c r="AR9" s="177">
        <f t="shared" si="30"/>
        <v>37105</v>
      </c>
      <c r="AS9" s="178">
        <f t="shared" si="31"/>
        <v>83193</v>
      </c>
      <c r="AT9" s="177">
        <v>4782</v>
      </c>
      <c r="AU9" s="177">
        <v>25858</v>
      </c>
      <c r="AV9" s="177">
        <v>28660</v>
      </c>
      <c r="AW9" s="177">
        <v>32300</v>
      </c>
      <c r="AX9" s="177">
        <v>38079</v>
      </c>
      <c r="AY9" s="177">
        <v>36332</v>
      </c>
      <c r="AZ9" s="177">
        <v>4752</v>
      </c>
      <c r="BA9" s="177">
        <v>61168</v>
      </c>
      <c r="BB9" s="177">
        <v>44522</v>
      </c>
      <c r="BC9" s="177">
        <v>82270</v>
      </c>
      <c r="BD9" s="177">
        <v>75457</v>
      </c>
      <c r="BE9" s="177">
        <v>27228</v>
      </c>
      <c r="BF9" s="179">
        <v>71430</v>
      </c>
      <c r="BG9" s="177">
        <v>3142</v>
      </c>
      <c r="BH9" s="177">
        <v>3966</v>
      </c>
      <c r="BI9" s="177">
        <v>48786</v>
      </c>
      <c r="BJ9" s="177">
        <v>22834</v>
      </c>
      <c r="BK9" s="177">
        <v>2875</v>
      </c>
      <c r="BL9" s="177">
        <v>3466</v>
      </c>
      <c r="BM9" s="177">
        <v>51845</v>
      </c>
      <c r="BN9" s="177">
        <v>44973</v>
      </c>
      <c r="BO9" s="177">
        <v>1672</v>
      </c>
      <c r="BP9" s="177">
        <v>20859</v>
      </c>
      <c r="BQ9" s="177">
        <v>25470</v>
      </c>
      <c r="BR9" s="179">
        <v>23114</v>
      </c>
      <c r="BS9" s="177">
        <v>3671</v>
      </c>
      <c r="BT9" s="177">
        <v>54976</v>
      </c>
      <c r="BU9" s="177">
        <v>27627</v>
      </c>
      <c r="BV9" s="177">
        <v>70761</v>
      </c>
      <c r="BW9" s="177">
        <v>32882</v>
      </c>
      <c r="BX9" s="177">
        <v>42763</v>
      </c>
      <c r="BY9" s="177">
        <v>27386</v>
      </c>
      <c r="BZ9" s="177">
        <v>40439</v>
      </c>
      <c r="CA9" s="177">
        <v>27716</v>
      </c>
      <c r="CB9" s="179">
        <v>44097</v>
      </c>
      <c r="CC9" s="177">
        <v>52852</v>
      </c>
      <c r="CD9" s="177">
        <v>23945</v>
      </c>
      <c r="CE9" s="177">
        <v>41156</v>
      </c>
      <c r="CF9" s="177">
        <v>5302</v>
      </c>
      <c r="CG9" s="181">
        <v>77891</v>
      </c>
      <c r="CH9" s="177">
        <v>82506</v>
      </c>
      <c r="CI9" s="177">
        <v>37105</v>
      </c>
      <c r="CJ9" s="177">
        <v>96550</v>
      </c>
      <c r="CK9" s="178">
        <v>59927</v>
      </c>
      <c r="CL9" s="180">
        <v>1635605</v>
      </c>
      <c r="CM9" s="56"/>
    </row>
    <row r="10" spans="1:91">
      <c r="A10" s="93">
        <f>ROWS($A$3:A8)</f>
        <v>6</v>
      </c>
      <c r="B10" s="106" t="s">
        <v>216</v>
      </c>
      <c r="C10" s="243"/>
      <c r="D10" s="319" t="s">
        <v>1</v>
      </c>
      <c r="E10" s="320"/>
      <c r="F10" s="156">
        <v>334795</v>
      </c>
      <c r="G10" s="177">
        <v>309951</v>
      </c>
      <c r="H10" s="177">
        <v>432156</v>
      </c>
      <c r="I10" s="178">
        <v>291374</v>
      </c>
      <c r="J10" s="177"/>
      <c r="K10" s="156">
        <f t="shared" si="0"/>
        <v>59123</v>
      </c>
      <c r="L10" s="177">
        <f t="shared" si="1"/>
        <v>33663</v>
      </c>
      <c r="M10" s="177">
        <f t="shared" si="2"/>
        <v>38605</v>
      </c>
      <c r="N10" s="177">
        <f t="shared" si="3"/>
        <v>20645</v>
      </c>
      <c r="O10" s="177">
        <f t="shared" si="4"/>
        <v>26973</v>
      </c>
      <c r="P10" s="177">
        <f>'2011'!AZ10+'2011'!BA10</f>
        <v>29538</v>
      </c>
      <c r="Q10" s="177">
        <f>'2011'!AU10</f>
        <v>21392</v>
      </c>
      <c r="R10" s="177">
        <f t="shared" si="32"/>
        <v>17465</v>
      </c>
      <c r="S10" s="177">
        <f t="shared" si="5"/>
        <v>18683</v>
      </c>
      <c r="T10" s="177">
        <f t="shared" si="6"/>
        <v>21781</v>
      </c>
      <c r="U10" s="179">
        <f t="shared" si="7"/>
        <v>46926</v>
      </c>
      <c r="V10" s="177">
        <f t="shared" si="8"/>
        <v>46159</v>
      </c>
      <c r="W10" s="177">
        <f t="shared" si="9"/>
        <v>54621</v>
      </c>
      <c r="X10" s="177">
        <f t="shared" si="10"/>
        <v>41290</v>
      </c>
      <c r="Y10" s="177">
        <f t="shared" si="11"/>
        <v>44169</v>
      </c>
      <c r="Z10" s="177">
        <f t="shared" si="12"/>
        <v>47415</v>
      </c>
      <c r="AA10" s="177">
        <f t="shared" si="13"/>
        <v>27010</v>
      </c>
      <c r="AB10" s="179">
        <f t="shared" si="14"/>
        <v>49287</v>
      </c>
      <c r="AC10" s="177">
        <f t="shared" si="15"/>
        <v>46916</v>
      </c>
      <c r="AD10" s="177">
        <f t="shared" si="16"/>
        <v>31159</v>
      </c>
      <c r="AE10" s="177">
        <f t="shared" si="17"/>
        <v>71997</v>
      </c>
      <c r="AF10" s="177">
        <f t="shared" si="18"/>
        <v>41624</v>
      </c>
      <c r="AG10" s="177">
        <f t="shared" si="19"/>
        <v>87484</v>
      </c>
      <c r="AH10" s="177">
        <f t="shared" si="20"/>
        <v>27327</v>
      </c>
      <c r="AI10" s="177">
        <f t="shared" si="21"/>
        <v>33095</v>
      </c>
      <c r="AJ10" s="177">
        <f t="shared" si="22"/>
        <v>36727</v>
      </c>
      <c r="AK10" s="179">
        <f t="shared" si="23"/>
        <v>55826</v>
      </c>
      <c r="AL10" s="177">
        <f t="shared" si="24"/>
        <v>37310</v>
      </c>
      <c r="AM10" s="177">
        <f t="shared" si="25"/>
        <v>40116</v>
      </c>
      <c r="AN10" s="177">
        <f t="shared" si="26"/>
        <v>46892</v>
      </c>
      <c r="AO10" s="177">
        <f t="shared" si="27"/>
        <v>41289</v>
      </c>
      <c r="AP10" s="177">
        <f t="shared" si="28"/>
        <v>17987</v>
      </c>
      <c r="AQ10" s="177">
        <f t="shared" si="29"/>
        <v>46644</v>
      </c>
      <c r="AR10" s="177">
        <f t="shared" si="30"/>
        <v>18634</v>
      </c>
      <c r="AS10" s="178">
        <f t="shared" si="31"/>
        <v>42503</v>
      </c>
      <c r="AT10" s="181">
        <v>4967</v>
      </c>
      <c r="AU10" s="177">
        <v>21392</v>
      </c>
      <c r="AV10" s="177">
        <v>18683</v>
      </c>
      <c r="AW10" s="177">
        <v>20645</v>
      </c>
      <c r="AX10" s="177">
        <v>12498</v>
      </c>
      <c r="AY10" s="177">
        <v>33663</v>
      </c>
      <c r="AZ10" s="177">
        <v>1420</v>
      </c>
      <c r="BA10" s="177">
        <v>28118</v>
      </c>
      <c r="BB10" s="177">
        <v>21781</v>
      </c>
      <c r="BC10" s="177">
        <v>46926</v>
      </c>
      <c r="BD10" s="177">
        <v>38605</v>
      </c>
      <c r="BE10" s="177">
        <v>26973</v>
      </c>
      <c r="BF10" s="179">
        <v>59123</v>
      </c>
      <c r="BG10" s="177">
        <v>8620</v>
      </c>
      <c r="BH10" s="177">
        <v>4520</v>
      </c>
      <c r="BI10" s="177">
        <v>36770</v>
      </c>
      <c r="BJ10" s="177">
        <v>37539</v>
      </c>
      <c r="BK10" s="177">
        <v>4429</v>
      </c>
      <c r="BL10" s="177">
        <v>1812</v>
      </c>
      <c r="BM10" s="177">
        <v>47415</v>
      </c>
      <c r="BN10" s="177">
        <v>37928</v>
      </c>
      <c r="BO10" s="177">
        <v>5027</v>
      </c>
      <c r="BP10" s="177">
        <v>49287</v>
      </c>
      <c r="BQ10" s="177">
        <v>21983</v>
      </c>
      <c r="BR10" s="179">
        <v>54621</v>
      </c>
      <c r="BS10" s="177">
        <v>6501</v>
      </c>
      <c r="BT10" s="177">
        <v>65496</v>
      </c>
      <c r="BU10" s="177">
        <v>31159</v>
      </c>
      <c r="BV10" s="177">
        <v>87484</v>
      </c>
      <c r="BW10" s="177">
        <v>33095</v>
      </c>
      <c r="BX10" s="177">
        <v>46916</v>
      </c>
      <c r="BY10" s="177">
        <v>36727</v>
      </c>
      <c r="BZ10" s="177">
        <v>27327</v>
      </c>
      <c r="CA10" s="177">
        <v>41624</v>
      </c>
      <c r="CB10" s="179">
        <v>55826</v>
      </c>
      <c r="CC10" s="177">
        <v>41289</v>
      </c>
      <c r="CD10" s="177">
        <v>17987</v>
      </c>
      <c r="CE10" s="177">
        <v>37310</v>
      </c>
      <c r="CF10" s="177">
        <v>2275</v>
      </c>
      <c r="CG10" s="181">
        <v>40228</v>
      </c>
      <c r="CH10" s="177">
        <v>40116</v>
      </c>
      <c r="CI10" s="177">
        <v>18634</v>
      </c>
      <c r="CJ10" s="177">
        <v>46892</v>
      </c>
      <c r="CK10" s="178">
        <v>46644</v>
      </c>
      <c r="CL10" s="180">
        <v>1368800</v>
      </c>
      <c r="CM10" s="56"/>
    </row>
    <row r="11" spans="1:91">
      <c r="A11" s="93">
        <f>ROWS($A$3:A9)</f>
        <v>7</v>
      </c>
      <c r="B11" s="106" t="s">
        <v>2</v>
      </c>
      <c r="C11" s="243"/>
      <c r="D11" s="319" t="s">
        <v>1</v>
      </c>
      <c r="E11" s="320"/>
      <c r="F11" s="156">
        <v>8904</v>
      </c>
      <c r="G11" s="177">
        <v>10099</v>
      </c>
      <c r="H11" s="177">
        <v>11395</v>
      </c>
      <c r="I11" s="178">
        <v>7932</v>
      </c>
      <c r="J11" s="177"/>
      <c r="K11" s="156">
        <f t="shared" si="0"/>
        <v>1122</v>
      </c>
      <c r="L11" s="177">
        <f t="shared" si="1"/>
        <v>523</v>
      </c>
      <c r="M11" s="177">
        <f t="shared" si="2"/>
        <v>1051</v>
      </c>
      <c r="N11" s="177">
        <f t="shared" si="3"/>
        <v>309</v>
      </c>
      <c r="O11" s="177">
        <f t="shared" si="4"/>
        <v>255</v>
      </c>
      <c r="P11" s="177">
        <f>'2011'!AZ11+'2011'!BA11</f>
        <v>1445</v>
      </c>
      <c r="Q11" s="177">
        <f>'2011'!AU11</f>
        <v>250</v>
      </c>
      <c r="R11" s="177">
        <f t="shared" si="32"/>
        <v>1175</v>
      </c>
      <c r="S11" s="177">
        <f t="shared" si="5"/>
        <v>615</v>
      </c>
      <c r="T11" s="177">
        <f t="shared" si="6"/>
        <v>812</v>
      </c>
      <c r="U11" s="179">
        <f t="shared" si="7"/>
        <v>1347</v>
      </c>
      <c r="V11" s="177">
        <f t="shared" si="8"/>
        <v>2311</v>
      </c>
      <c r="W11" s="177">
        <f t="shared" si="9"/>
        <v>508</v>
      </c>
      <c r="X11" s="177">
        <f t="shared" si="10"/>
        <v>3117</v>
      </c>
      <c r="Y11" s="177">
        <f t="shared" si="11"/>
        <v>2691</v>
      </c>
      <c r="Z11" s="177">
        <f t="shared" si="12"/>
        <v>753</v>
      </c>
      <c r="AA11" s="177">
        <f t="shared" si="13"/>
        <v>401</v>
      </c>
      <c r="AB11" s="179">
        <f t="shared" si="14"/>
        <v>319</v>
      </c>
      <c r="AC11" s="177">
        <f t="shared" si="15"/>
        <v>658</v>
      </c>
      <c r="AD11" s="177">
        <f t="shared" si="16"/>
        <v>928</v>
      </c>
      <c r="AE11" s="177">
        <f t="shared" si="17"/>
        <v>2227</v>
      </c>
      <c r="AF11" s="177">
        <f t="shared" si="18"/>
        <v>919</v>
      </c>
      <c r="AG11" s="177">
        <f t="shared" si="19"/>
        <v>3471</v>
      </c>
      <c r="AH11" s="177">
        <f t="shared" si="20"/>
        <v>972</v>
      </c>
      <c r="AI11" s="177">
        <f t="shared" si="21"/>
        <v>453</v>
      </c>
      <c r="AJ11" s="177">
        <f t="shared" si="22"/>
        <v>349</v>
      </c>
      <c r="AK11" s="179">
        <f t="shared" si="23"/>
        <v>1417</v>
      </c>
      <c r="AL11" s="177">
        <f t="shared" si="24"/>
        <v>365</v>
      </c>
      <c r="AM11" s="177">
        <f t="shared" si="25"/>
        <v>1517</v>
      </c>
      <c r="AN11" s="177">
        <f t="shared" si="26"/>
        <v>2182</v>
      </c>
      <c r="AO11" s="177">
        <f t="shared" si="27"/>
        <v>268</v>
      </c>
      <c r="AP11" s="177">
        <f t="shared" si="28"/>
        <v>476</v>
      </c>
      <c r="AQ11" s="177">
        <f t="shared" si="29"/>
        <v>1138</v>
      </c>
      <c r="AR11" s="177">
        <f t="shared" si="30"/>
        <v>709</v>
      </c>
      <c r="AS11" s="178">
        <f t="shared" si="31"/>
        <v>1278</v>
      </c>
      <c r="AT11" s="181">
        <v>270</v>
      </c>
      <c r="AU11" s="177">
        <v>250</v>
      </c>
      <c r="AV11" s="177">
        <v>615</v>
      </c>
      <c r="AW11" s="177">
        <v>309</v>
      </c>
      <c r="AX11" s="177">
        <v>905</v>
      </c>
      <c r="AY11" s="177">
        <v>523</v>
      </c>
      <c r="AZ11" s="177">
        <v>217</v>
      </c>
      <c r="BA11" s="177">
        <v>1228</v>
      </c>
      <c r="BB11" s="177">
        <v>812</v>
      </c>
      <c r="BC11" s="177">
        <v>1347</v>
      </c>
      <c r="BD11" s="177">
        <v>1051</v>
      </c>
      <c r="BE11" s="177">
        <v>255</v>
      </c>
      <c r="BF11" s="179">
        <v>1122</v>
      </c>
      <c r="BG11" s="177">
        <v>82</v>
      </c>
      <c r="BH11" s="177">
        <v>707</v>
      </c>
      <c r="BI11" s="177">
        <v>2410</v>
      </c>
      <c r="BJ11" s="177">
        <v>2229</v>
      </c>
      <c r="BK11" s="177">
        <v>252</v>
      </c>
      <c r="BL11" s="177">
        <v>761</v>
      </c>
      <c r="BM11" s="177">
        <v>753</v>
      </c>
      <c r="BN11" s="177">
        <v>1678</v>
      </c>
      <c r="BO11" s="177">
        <v>73</v>
      </c>
      <c r="BP11" s="177">
        <v>319</v>
      </c>
      <c r="BQ11" s="177">
        <v>328</v>
      </c>
      <c r="BR11" s="179">
        <v>508</v>
      </c>
      <c r="BS11" s="177">
        <v>207</v>
      </c>
      <c r="BT11" s="177">
        <v>2020</v>
      </c>
      <c r="BU11" s="177">
        <v>928</v>
      </c>
      <c r="BV11" s="177">
        <v>3471</v>
      </c>
      <c r="BW11" s="177">
        <v>453</v>
      </c>
      <c r="BX11" s="177">
        <v>658</v>
      </c>
      <c r="BY11" s="177">
        <v>349</v>
      </c>
      <c r="BZ11" s="177">
        <v>972</v>
      </c>
      <c r="CA11" s="177">
        <v>919</v>
      </c>
      <c r="CB11" s="179">
        <v>1417</v>
      </c>
      <c r="CC11" s="177">
        <v>268</v>
      </c>
      <c r="CD11" s="177">
        <v>476</v>
      </c>
      <c r="CE11" s="177">
        <v>365</v>
      </c>
      <c r="CF11" s="177">
        <v>156</v>
      </c>
      <c r="CG11" s="181">
        <v>1122</v>
      </c>
      <c r="CH11" s="177">
        <v>1517</v>
      </c>
      <c r="CI11" s="177">
        <v>709</v>
      </c>
      <c r="CJ11" s="177">
        <v>2182</v>
      </c>
      <c r="CK11" s="178">
        <v>1138</v>
      </c>
      <c r="CL11" s="180">
        <v>38568</v>
      </c>
      <c r="CM11" s="56"/>
    </row>
    <row r="12" spans="1:91">
      <c r="A12" s="93">
        <f>ROWS($A$3:A10)</f>
        <v>8</v>
      </c>
      <c r="B12" s="106" t="s">
        <v>217</v>
      </c>
      <c r="C12" s="243"/>
      <c r="D12" s="319" t="s">
        <v>1</v>
      </c>
      <c r="E12" s="320"/>
      <c r="F12" s="156">
        <v>7197</v>
      </c>
      <c r="G12" s="177">
        <v>6076</v>
      </c>
      <c r="H12" s="177">
        <v>6800</v>
      </c>
      <c r="I12" s="178">
        <v>6709</v>
      </c>
      <c r="J12" s="177"/>
      <c r="K12" s="156">
        <f t="shared" si="0"/>
        <v>516</v>
      </c>
      <c r="L12" s="177">
        <f t="shared" si="1"/>
        <v>409</v>
      </c>
      <c r="M12" s="177">
        <f t="shared" si="2"/>
        <v>1277</v>
      </c>
      <c r="N12" s="177">
        <f t="shared" si="3"/>
        <v>474</v>
      </c>
      <c r="O12" s="177">
        <f t="shared" si="4"/>
        <v>431</v>
      </c>
      <c r="P12" s="177">
        <f>'2011'!AZ12+'2011'!BA12</f>
        <v>698</v>
      </c>
      <c r="Q12" s="177">
        <f>'2011'!AU12</f>
        <v>564</v>
      </c>
      <c r="R12" s="177">
        <f t="shared" si="32"/>
        <v>756</v>
      </c>
      <c r="S12" s="177">
        <f t="shared" si="5"/>
        <v>475</v>
      </c>
      <c r="T12" s="177">
        <f t="shared" si="6"/>
        <v>633</v>
      </c>
      <c r="U12" s="179">
        <f t="shared" si="7"/>
        <v>962</v>
      </c>
      <c r="V12" s="177">
        <f t="shared" si="8"/>
        <v>1093</v>
      </c>
      <c r="W12" s="177">
        <f t="shared" si="9"/>
        <v>596</v>
      </c>
      <c r="X12" s="177">
        <f t="shared" si="10"/>
        <v>1451</v>
      </c>
      <c r="Y12" s="177">
        <f t="shared" si="11"/>
        <v>1202</v>
      </c>
      <c r="Z12" s="177">
        <f t="shared" si="12"/>
        <v>703</v>
      </c>
      <c r="AA12" s="177">
        <f t="shared" si="13"/>
        <v>515</v>
      </c>
      <c r="AB12" s="179">
        <f t="shared" si="14"/>
        <v>516</v>
      </c>
      <c r="AC12" s="177">
        <f t="shared" si="15"/>
        <v>506</v>
      </c>
      <c r="AD12" s="177">
        <f t="shared" si="16"/>
        <v>915</v>
      </c>
      <c r="AE12" s="177">
        <f t="shared" si="17"/>
        <v>1200</v>
      </c>
      <c r="AF12" s="177">
        <f t="shared" si="18"/>
        <v>283</v>
      </c>
      <c r="AG12" s="177">
        <f t="shared" si="19"/>
        <v>1819</v>
      </c>
      <c r="AH12" s="177">
        <f t="shared" si="20"/>
        <v>546</v>
      </c>
      <c r="AI12" s="177">
        <f t="shared" si="21"/>
        <v>686</v>
      </c>
      <c r="AJ12" s="177">
        <f t="shared" si="22"/>
        <v>504</v>
      </c>
      <c r="AK12" s="179">
        <f t="shared" si="23"/>
        <v>341</v>
      </c>
      <c r="AL12" s="177">
        <f t="shared" si="24"/>
        <v>784</v>
      </c>
      <c r="AM12" s="177">
        <f t="shared" si="25"/>
        <v>978</v>
      </c>
      <c r="AN12" s="177">
        <f t="shared" si="26"/>
        <v>753</v>
      </c>
      <c r="AO12" s="177">
        <f t="shared" si="27"/>
        <v>820</v>
      </c>
      <c r="AP12" s="177">
        <f t="shared" si="28"/>
        <v>363</v>
      </c>
      <c r="AQ12" s="177">
        <f t="shared" si="29"/>
        <v>1053</v>
      </c>
      <c r="AR12" s="177">
        <f t="shared" si="30"/>
        <v>367</v>
      </c>
      <c r="AS12" s="178">
        <f t="shared" si="31"/>
        <v>1591</v>
      </c>
      <c r="AT12" s="181">
        <v>59</v>
      </c>
      <c r="AU12" s="177">
        <v>564</v>
      </c>
      <c r="AV12" s="177">
        <v>475</v>
      </c>
      <c r="AW12" s="177">
        <v>474</v>
      </c>
      <c r="AX12" s="177">
        <v>697</v>
      </c>
      <c r="AY12" s="177">
        <v>409</v>
      </c>
      <c r="AZ12" s="177">
        <v>61</v>
      </c>
      <c r="BA12" s="177">
        <v>637</v>
      </c>
      <c r="BB12" s="177">
        <v>633</v>
      </c>
      <c r="BC12" s="177">
        <v>962</v>
      </c>
      <c r="BD12" s="177">
        <v>1277</v>
      </c>
      <c r="BE12" s="177">
        <v>431</v>
      </c>
      <c r="BF12" s="179">
        <v>516</v>
      </c>
      <c r="BG12" s="177">
        <v>141</v>
      </c>
      <c r="BH12" s="177">
        <v>120</v>
      </c>
      <c r="BI12" s="177">
        <v>1331</v>
      </c>
      <c r="BJ12" s="177">
        <v>952</v>
      </c>
      <c r="BK12" s="177">
        <v>54</v>
      </c>
      <c r="BL12" s="177">
        <v>40</v>
      </c>
      <c r="BM12" s="177">
        <v>703</v>
      </c>
      <c r="BN12" s="177">
        <v>1108</v>
      </c>
      <c r="BO12" s="177">
        <v>23</v>
      </c>
      <c r="BP12" s="177">
        <v>516</v>
      </c>
      <c r="BQ12" s="177">
        <v>492</v>
      </c>
      <c r="BR12" s="179">
        <v>596</v>
      </c>
      <c r="BS12" s="177">
        <v>65</v>
      </c>
      <c r="BT12" s="177">
        <v>1135</v>
      </c>
      <c r="BU12" s="177">
        <v>915</v>
      </c>
      <c r="BV12" s="177">
        <v>1819</v>
      </c>
      <c r="BW12" s="177">
        <v>686</v>
      </c>
      <c r="BX12" s="177">
        <v>506</v>
      </c>
      <c r="BY12" s="177">
        <v>504</v>
      </c>
      <c r="BZ12" s="177">
        <v>546</v>
      </c>
      <c r="CA12" s="177">
        <v>283</v>
      </c>
      <c r="CB12" s="179">
        <v>341</v>
      </c>
      <c r="CC12" s="177">
        <v>820</v>
      </c>
      <c r="CD12" s="177">
        <v>363</v>
      </c>
      <c r="CE12" s="177">
        <v>784</v>
      </c>
      <c r="CF12" s="177">
        <v>365</v>
      </c>
      <c r="CG12" s="181">
        <v>1226</v>
      </c>
      <c r="CH12" s="177">
        <v>978</v>
      </c>
      <c r="CI12" s="177">
        <v>367</v>
      </c>
      <c r="CJ12" s="177">
        <v>753</v>
      </c>
      <c r="CK12" s="178">
        <v>1053</v>
      </c>
      <c r="CL12" s="180">
        <v>26794</v>
      </c>
      <c r="CM12" s="56"/>
    </row>
    <row r="13" spans="1:91">
      <c r="A13" s="93">
        <f>ROWS($A$3:A11)</f>
        <v>9</v>
      </c>
      <c r="B13" s="106" t="s">
        <v>69</v>
      </c>
      <c r="C13" s="242">
        <v>2010</v>
      </c>
      <c r="D13" s="319" t="s">
        <v>12</v>
      </c>
      <c r="E13" s="322"/>
      <c r="F13" s="156">
        <f>SUM(AT13:BF13)</f>
        <v>4002571</v>
      </c>
      <c r="G13" s="177">
        <f>SUM(BG13:BR13)</f>
        <v>2744226</v>
      </c>
      <c r="H13" s="177">
        <f>SUM(BS13:CB13)</f>
        <v>2199125</v>
      </c>
      <c r="I13" s="178">
        <f>SUM(CC13:CK13)</f>
        <v>1807958</v>
      </c>
      <c r="J13" s="177"/>
      <c r="K13" s="156">
        <f t="shared" si="0"/>
        <v>310733</v>
      </c>
      <c r="L13" s="177">
        <f t="shared" si="1"/>
        <v>415448</v>
      </c>
      <c r="M13" s="177">
        <f t="shared" si="2"/>
        <v>133351</v>
      </c>
      <c r="N13" s="177">
        <f t="shared" si="3"/>
        <v>252548</v>
      </c>
      <c r="O13" s="177">
        <f t="shared" si="4"/>
        <v>131116</v>
      </c>
      <c r="P13" s="177">
        <f>'2011'!AZ13+'2011'!BA13</f>
        <v>451243</v>
      </c>
      <c r="Q13" s="177">
        <f>'2011'!AU13</f>
        <v>371396</v>
      </c>
      <c r="R13" s="177">
        <f t="shared" si="32"/>
        <v>1124573</v>
      </c>
      <c r="S13" s="177">
        <f t="shared" si="5"/>
        <v>514830</v>
      </c>
      <c r="T13" s="177">
        <f t="shared" si="6"/>
        <v>108913</v>
      </c>
      <c r="U13" s="179">
        <f t="shared" si="7"/>
        <v>188420</v>
      </c>
      <c r="V13" s="177">
        <f t="shared" si="8"/>
        <v>281234</v>
      </c>
      <c r="W13" s="177">
        <f t="shared" si="9"/>
        <v>119878</v>
      </c>
      <c r="X13" s="177">
        <f t="shared" si="10"/>
        <v>727032</v>
      </c>
      <c r="Y13" s="177">
        <f t="shared" si="11"/>
        <v>998111</v>
      </c>
      <c r="Z13" s="177">
        <f t="shared" si="12"/>
        <v>147006</v>
      </c>
      <c r="AA13" s="177">
        <f t="shared" si="13"/>
        <v>313694</v>
      </c>
      <c r="AB13" s="179">
        <f t="shared" si="14"/>
        <v>157271</v>
      </c>
      <c r="AC13" s="177">
        <f t="shared" si="15"/>
        <v>206535</v>
      </c>
      <c r="AD13" s="177">
        <f t="shared" si="16"/>
        <v>158342</v>
      </c>
      <c r="AE13" s="177">
        <f t="shared" si="17"/>
        <v>475457</v>
      </c>
      <c r="AF13" s="177">
        <f t="shared" si="18"/>
        <v>222650</v>
      </c>
      <c r="AG13" s="177">
        <f t="shared" si="19"/>
        <v>417513</v>
      </c>
      <c r="AH13" s="177">
        <f t="shared" si="20"/>
        <v>278983</v>
      </c>
      <c r="AI13" s="177">
        <f t="shared" si="21"/>
        <v>139316</v>
      </c>
      <c r="AJ13" s="177">
        <f t="shared" si="22"/>
        <v>134189</v>
      </c>
      <c r="AK13" s="179">
        <f t="shared" si="23"/>
        <v>166140</v>
      </c>
      <c r="AL13" s="177">
        <f t="shared" si="24"/>
        <v>188393</v>
      </c>
      <c r="AM13" s="177">
        <f t="shared" si="25"/>
        <v>189312</v>
      </c>
      <c r="AN13" s="177">
        <f t="shared" si="26"/>
        <v>276965</v>
      </c>
      <c r="AO13" s="177">
        <f t="shared" si="27"/>
        <v>280931</v>
      </c>
      <c r="AP13" s="177">
        <f t="shared" si="28"/>
        <v>221304</v>
      </c>
      <c r="AQ13" s="177">
        <f t="shared" si="29"/>
        <v>130215</v>
      </c>
      <c r="AR13" s="177">
        <f t="shared" si="30"/>
        <v>208367</v>
      </c>
      <c r="AS13" s="178">
        <f t="shared" si="31"/>
        <v>312471</v>
      </c>
      <c r="AT13" s="181">
        <v>606588</v>
      </c>
      <c r="AU13" s="181">
        <v>371396</v>
      </c>
      <c r="AV13" s="181">
        <v>514830</v>
      </c>
      <c r="AW13" s="181">
        <v>252548</v>
      </c>
      <c r="AX13" s="181">
        <v>517985</v>
      </c>
      <c r="AY13" s="177">
        <v>415448</v>
      </c>
      <c r="AZ13" s="177">
        <v>122879</v>
      </c>
      <c r="BA13" s="177">
        <v>328364</v>
      </c>
      <c r="BB13" s="177">
        <v>108913</v>
      </c>
      <c r="BC13" s="177">
        <v>188420</v>
      </c>
      <c r="BD13" s="177">
        <v>133351</v>
      </c>
      <c r="BE13" s="177">
        <v>131116</v>
      </c>
      <c r="BF13" s="179">
        <v>310733</v>
      </c>
      <c r="BG13" s="177">
        <v>54445</v>
      </c>
      <c r="BH13" s="177">
        <v>294761</v>
      </c>
      <c r="BI13" s="177">
        <v>432271</v>
      </c>
      <c r="BJ13" s="177">
        <v>226789</v>
      </c>
      <c r="BK13" s="177">
        <v>147312</v>
      </c>
      <c r="BL13" s="177">
        <v>313174</v>
      </c>
      <c r="BM13" s="177">
        <v>147006</v>
      </c>
      <c r="BN13" s="177">
        <v>537625</v>
      </c>
      <c r="BO13" s="177">
        <v>119781</v>
      </c>
      <c r="BP13" s="177">
        <v>157271</v>
      </c>
      <c r="BQ13" s="177">
        <v>193913</v>
      </c>
      <c r="BR13" s="179">
        <v>119878</v>
      </c>
      <c r="BS13" s="177">
        <v>224191</v>
      </c>
      <c r="BT13" s="177">
        <v>251266</v>
      </c>
      <c r="BU13" s="177">
        <v>158342</v>
      </c>
      <c r="BV13" s="177">
        <v>417513</v>
      </c>
      <c r="BW13" s="177">
        <v>139316</v>
      </c>
      <c r="BX13" s="177">
        <v>206535</v>
      </c>
      <c r="BY13" s="177">
        <v>134189</v>
      </c>
      <c r="BZ13" s="177">
        <v>278983</v>
      </c>
      <c r="CA13" s="177">
        <v>222650</v>
      </c>
      <c r="CB13" s="179">
        <v>166140</v>
      </c>
      <c r="CC13" s="177">
        <v>280931</v>
      </c>
      <c r="CD13" s="177">
        <v>221304</v>
      </c>
      <c r="CE13" s="177">
        <v>188393</v>
      </c>
      <c r="CF13" s="177">
        <v>122801</v>
      </c>
      <c r="CG13" s="177">
        <v>189670</v>
      </c>
      <c r="CH13" s="177">
        <v>189312</v>
      </c>
      <c r="CI13" s="177">
        <v>208367</v>
      </c>
      <c r="CJ13" s="177">
        <v>276965</v>
      </c>
      <c r="CK13" s="178">
        <v>130215</v>
      </c>
      <c r="CL13" s="180">
        <v>10753880</v>
      </c>
      <c r="CM13" s="56"/>
    </row>
    <row r="14" spans="1:91">
      <c r="A14" s="93">
        <f>ROWS($A$3:A12)</f>
        <v>10</v>
      </c>
      <c r="B14" s="62" t="s">
        <v>64</v>
      </c>
      <c r="C14" s="312"/>
      <c r="D14" s="319" t="s">
        <v>13</v>
      </c>
      <c r="E14" s="320"/>
      <c r="F14" s="182">
        <f>F13/F7*100</f>
        <v>379.11391685689119</v>
      </c>
      <c r="G14" s="183">
        <f>G13/G7*100</f>
        <v>396.61718031877069</v>
      </c>
      <c r="H14" s="183">
        <f>H13/H7*100</f>
        <v>235.27401070708711</v>
      </c>
      <c r="I14" s="184">
        <f>I13/I7*100</f>
        <v>202.73883200432402</v>
      </c>
      <c r="J14" s="181"/>
      <c r="K14" s="185">
        <f t="shared" si="0"/>
        <v>205.56834570449465</v>
      </c>
      <c r="L14" s="186">
        <f t="shared" si="1"/>
        <v>484.12613326496842</v>
      </c>
      <c r="M14" s="186">
        <f t="shared" si="2"/>
        <v>102.2308936607355</v>
      </c>
      <c r="N14" s="186">
        <f t="shared" si="3"/>
        <v>393.15036505440787</v>
      </c>
      <c r="O14" s="186">
        <f t="shared" si="4"/>
        <v>209.0764128077561</v>
      </c>
      <c r="P14" s="183">
        <f>P13/P7*100</f>
        <v>376.09538176878004</v>
      </c>
      <c r="Q14" s="186">
        <f>'2011'!AU14</f>
        <v>601.11030185320067</v>
      </c>
      <c r="R14" s="183">
        <f>R13/R7*100</f>
        <v>1257.6724783877787</v>
      </c>
      <c r="S14" s="186">
        <f t="shared" si="5"/>
        <v>802.56594126083428</v>
      </c>
      <c r="T14" s="186">
        <f t="shared" si="6"/>
        <v>140.21448066326795</v>
      </c>
      <c r="U14" s="187">
        <f t="shared" si="7"/>
        <v>126.96679941509828</v>
      </c>
      <c r="V14" s="183">
        <f>V13/V7*100</f>
        <v>319.96222808774007</v>
      </c>
      <c r="W14" s="186">
        <f t="shared" si="9"/>
        <v>137.6831901502274</v>
      </c>
      <c r="X14" s="183">
        <f>X13/X7*100</f>
        <v>577.71562067924287</v>
      </c>
      <c r="Y14" s="183">
        <f>Y13/Y7*100</f>
        <v>758.73128088179396</v>
      </c>
      <c r="Z14" s="186">
        <f t="shared" si="12"/>
        <v>130.52349326987959</v>
      </c>
      <c r="AA14" s="183">
        <f>AA13/AA7*100</f>
        <v>467.02894235350163</v>
      </c>
      <c r="AB14" s="187">
        <f t="shared" si="14"/>
        <v>197.20254291482237</v>
      </c>
      <c r="AC14" s="186">
        <f t="shared" si="15"/>
        <v>201.44449754698761</v>
      </c>
      <c r="AD14" s="186">
        <f t="shared" si="16"/>
        <v>232.8969818203212</v>
      </c>
      <c r="AE14" s="183">
        <f>AE13/AE7*100</f>
        <v>310.47414440475649</v>
      </c>
      <c r="AF14" s="186">
        <f t="shared" si="18"/>
        <v>275.97704426292495</v>
      </c>
      <c r="AG14" s="186">
        <f t="shared" si="19"/>
        <v>225.57905827052434</v>
      </c>
      <c r="AH14" s="186">
        <f t="shared" si="20"/>
        <v>341.0633511821805</v>
      </c>
      <c r="AI14" s="186">
        <f t="shared" si="21"/>
        <v>181.06390444874779</v>
      </c>
      <c r="AJ14" s="186">
        <f t="shared" si="22"/>
        <v>182.73166746101995</v>
      </c>
      <c r="AK14" s="187">
        <f t="shared" si="23"/>
        <v>146.87577354220446</v>
      </c>
      <c r="AL14" s="186">
        <f t="shared" si="24"/>
        <v>205.2837466765462</v>
      </c>
      <c r="AM14" s="186">
        <f t="shared" si="25"/>
        <v>134.28763965242064</v>
      </c>
      <c r="AN14" s="186">
        <f t="shared" si="26"/>
        <v>169.72662593529964</v>
      </c>
      <c r="AO14" s="186">
        <f t="shared" si="27"/>
        <v>256.78311579101313</v>
      </c>
      <c r="AP14" s="186">
        <f t="shared" si="28"/>
        <v>426.25678955275629</v>
      </c>
      <c r="AQ14" s="186">
        <f t="shared" si="29"/>
        <v>108.11966521638048</v>
      </c>
      <c r="AR14" s="186">
        <f t="shared" si="30"/>
        <v>313.43281336963554</v>
      </c>
      <c r="AS14" s="184">
        <f>AS13/AS7*100</f>
        <v>211.6997852318074</v>
      </c>
      <c r="AT14" s="183">
        <f t="shared" ref="AT14:CK14" si="33">AT13/AT7*100</f>
        <v>2925.4304316373282</v>
      </c>
      <c r="AU14" s="183">
        <f t="shared" si="33"/>
        <v>601.11030185320067</v>
      </c>
      <c r="AV14" s="183">
        <f t="shared" si="33"/>
        <v>802.56594126083428</v>
      </c>
      <c r="AW14" s="183">
        <f t="shared" si="33"/>
        <v>393.15036505440787</v>
      </c>
      <c r="AX14" s="183">
        <f t="shared" si="33"/>
        <v>754.17867854750875</v>
      </c>
      <c r="AY14" s="183">
        <f t="shared" si="33"/>
        <v>484.12613326496842</v>
      </c>
      <c r="AZ14" s="183">
        <f t="shared" si="33"/>
        <v>1230.2663195835003</v>
      </c>
      <c r="BA14" s="183">
        <f t="shared" si="33"/>
        <v>298.53172474612018</v>
      </c>
      <c r="BB14" s="183">
        <f t="shared" si="33"/>
        <v>140.21448066326795</v>
      </c>
      <c r="BC14" s="183">
        <f t="shared" si="33"/>
        <v>126.96679941509828</v>
      </c>
      <c r="BD14" s="183">
        <f t="shared" si="33"/>
        <v>102.2308936607355</v>
      </c>
      <c r="BE14" s="183">
        <f t="shared" si="33"/>
        <v>209.0764128077561</v>
      </c>
      <c r="BF14" s="188">
        <f t="shared" si="33"/>
        <v>205.56834570449465</v>
      </c>
      <c r="BG14" s="183">
        <f t="shared" si="33"/>
        <v>388.31039155552384</v>
      </c>
      <c r="BH14" s="183">
        <f t="shared" si="33"/>
        <v>1699.302432837542</v>
      </c>
      <c r="BI14" s="183">
        <f t="shared" si="33"/>
        <v>398.40645161290325</v>
      </c>
      <c r="BJ14" s="183">
        <f t="shared" si="33"/>
        <v>306.99018612521149</v>
      </c>
      <c r="BK14" s="183">
        <f t="shared" si="33"/>
        <v>1353.5973536708627</v>
      </c>
      <c r="BL14" s="183">
        <f t="shared" si="33"/>
        <v>2160.416666666667</v>
      </c>
      <c r="BM14" s="183">
        <f t="shared" si="33"/>
        <v>130.52349326987959</v>
      </c>
      <c r="BN14" s="183">
        <f t="shared" si="33"/>
        <v>506.37650582550793</v>
      </c>
      <c r="BO14" s="183">
        <f t="shared" si="33"/>
        <v>1222.2551020408164</v>
      </c>
      <c r="BP14" s="183">
        <f t="shared" si="33"/>
        <v>197.20254291482237</v>
      </c>
      <c r="BQ14" s="183">
        <f t="shared" si="33"/>
        <v>338.01596708966667</v>
      </c>
      <c r="BR14" s="188">
        <f t="shared" si="33"/>
        <v>137.6831901502274</v>
      </c>
      <c r="BS14" s="183">
        <f t="shared" si="33"/>
        <v>1464.7262511433426</v>
      </c>
      <c r="BT14" s="183">
        <f t="shared" si="33"/>
        <v>182.29741788976514</v>
      </c>
      <c r="BU14" s="183">
        <f t="shared" si="33"/>
        <v>232.8969818203212</v>
      </c>
      <c r="BV14" s="183">
        <f t="shared" si="33"/>
        <v>225.57905827052434</v>
      </c>
      <c r="BW14" s="183">
        <f t="shared" si="33"/>
        <v>181.06390444874779</v>
      </c>
      <c r="BX14" s="183">
        <f t="shared" si="33"/>
        <v>201.44449754698761</v>
      </c>
      <c r="BY14" s="183">
        <f t="shared" si="33"/>
        <v>182.73166746101995</v>
      </c>
      <c r="BZ14" s="183">
        <f t="shared" si="33"/>
        <v>341.0633511821805</v>
      </c>
      <c r="CA14" s="183">
        <f t="shared" si="33"/>
        <v>275.97704426292495</v>
      </c>
      <c r="CB14" s="188">
        <f t="shared" si="33"/>
        <v>146.87577354220446</v>
      </c>
      <c r="CC14" s="183">
        <f t="shared" si="33"/>
        <v>256.78311579101313</v>
      </c>
      <c r="CD14" s="183">
        <f t="shared" si="33"/>
        <v>426.25678955275629</v>
      </c>
      <c r="CE14" s="183">
        <f t="shared" si="33"/>
        <v>205.2837466765462</v>
      </c>
      <c r="CF14" s="183">
        <f t="shared" si="33"/>
        <v>1034.63644788946</v>
      </c>
      <c r="CG14" s="183">
        <f>CG13/CG7*100</f>
        <v>139.73860254030001</v>
      </c>
      <c r="CH14" s="183">
        <f t="shared" si="33"/>
        <v>134.28763965242064</v>
      </c>
      <c r="CI14" s="183">
        <f t="shared" si="33"/>
        <v>313.43281336963554</v>
      </c>
      <c r="CJ14" s="183">
        <f t="shared" si="33"/>
        <v>169.72662593529964</v>
      </c>
      <c r="CK14" s="184">
        <f t="shared" si="33"/>
        <v>108.11966521638048</v>
      </c>
      <c r="CL14" s="189">
        <f>CL13/CL7*100</f>
        <v>300.79537965980705</v>
      </c>
    </row>
    <row r="15" spans="1:91">
      <c r="A15" s="93">
        <f>ROWS($A$3:A13)</f>
        <v>11</v>
      </c>
      <c r="B15" s="67" t="s">
        <v>303</v>
      </c>
      <c r="C15" s="312"/>
      <c r="D15" s="319"/>
      <c r="E15" s="320"/>
      <c r="F15" s="377"/>
      <c r="G15" s="181"/>
      <c r="H15" s="181"/>
      <c r="I15" s="373"/>
      <c r="J15" s="181"/>
      <c r="K15" s="185"/>
      <c r="L15" s="186"/>
      <c r="M15" s="186"/>
      <c r="N15" s="186"/>
      <c r="O15" s="186"/>
      <c r="P15" s="181"/>
      <c r="Q15" s="181"/>
      <c r="R15" s="181"/>
      <c r="S15" s="186"/>
      <c r="T15" s="186"/>
      <c r="U15" s="187"/>
      <c r="V15" s="181"/>
      <c r="W15" s="181"/>
      <c r="X15" s="181"/>
      <c r="Y15" s="181"/>
      <c r="Z15" s="181"/>
      <c r="AA15" s="181"/>
      <c r="AB15" s="187"/>
      <c r="AC15" s="186"/>
      <c r="AD15" s="186"/>
      <c r="AE15" s="181"/>
      <c r="AF15" s="186"/>
      <c r="AG15" s="186"/>
      <c r="AH15" s="186"/>
      <c r="AI15" s="186"/>
      <c r="AJ15" s="186"/>
      <c r="AK15" s="187"/>
      <c r="AL15" s="186"/>
      <c r="AM15" s="186"/>
      <c r="AN15" s="186"/>
      <c r="AO15" s="186"/>
      <c r="AP15" s="186"/>
      <c r="AQ15" s="186"/>
      <c r="AR15" s="186"/>
      <c r="AS15" s="373"/>
      <c r="AT15" s="181"/>
      <c r="AU15" s="181"/>
      <c r="AV15" s="181"/>
      <c r="AW15" s="181"/>
      <c r="AX15" s="181"/>
      <c r="AY15" s="181"/>
      <c r="AZ15" s="181"/>
      <c r="BA15" s="181"/>
      <c r="BB15" s="181"/>
      <c r="BC15" s="181"/>
      <c r="BD15" s="181"/>
      <c r="BE15" s="181"/>
      <c r="BF15" s="372"/>
      <c r="BG15" s="181"/>
      <c r="BH15" s="181"/>
      <c r="BI15" s="181"/>
      <c r="BJ15" s="181"/>
      <c r="BK15" s="181"/>
      <c r="BL15" s="181"/>
      <c r="BM15" s="181"/>
      <c r="BN15" s="181"/>
      <c r="BO15" s="181"/>
      <c r="BP15" s="181"/>
      <c r="BQ15" s="181"/>
      <c r="BR15" s="372"/>
      <c r="BS15" s="181"/>
      <c r="BT15" s="181"/>
      <c r="BU15" s="181"/>
      <c r="BV15" s="181"/>
      <c r="BW15" s="181"/>
      <c r="BX15" s="181"/>
      <c r="BY15" s="181"/>
      <c r="BZ15" s="181"/>
      <c r="CA15" s="181"/>
      <c r="CB15" s="372"/>
      <c r="CC15" s="181"/>
      <c r="CD15" s="181"/>
      <c r="CE15" s="181"/>
      <c r="CF15" s="181"/>
      <c r="CG15" s="181"/>
      <c r="CH15" s="181"/>
      <c r="CI15" s="181"/>
      <c r="CJ15" s="181"/>
      <c r="CK15" s="373"/>
      <c r="CL15" s="318"/>
    </row>
    <row r="16" spans="1:91">
      <c r="A16" s="93">
        <f>ROWS($A$3:A14)</f>
        <v>12</v>
      </c>
      <c r="B16" s="106" t="s">
        <v>214</v>
      </c>
      <c r="C16" s="242">
        <v>2009</v>
      </c>
      <c r="D16" s="319" t="s">
        <v>12</v>
      </c>
      <c r="E16" s="322"/>
      <c r="F16" s="156">
        <v>2147800</v>
      </c>
      <c r="G16" s="177">
        <v>1430400</v>
      </c>
      <c r="H16" s="177">
        <v>1079400</v>
      </c>
      <c r="I16" s="178">
        <v>914000</v>
      </c>
      <c r="J16" s="181"/>
      <c r="K16" s="156">
        <f t="shared" si="0"/>
        <v>149400</v>
      </c>
      <c r="L16" s="177">
        <f t="shared" si="1"/>
        <v>181300</v>
      </c>
      <c r="M16" s="177">
        <f t="shared" si="2"/>
        <v>70600</v>
      </c>
      <c r="N16" s="177">
        <f t="shared" si="3"/>
        <v>111200</v>
      </c>
      <c r="O16" s="177">
        <f t="shared" si="4"/>
        <v>63800</v>
      </c>
      <c r="P16" s="177">
        <f>'2011'!AZ16+'2011'!BA16</f>
        <v>244700</v>
      </c>
      <c r="Q16" s="177">
        <f>'2011'!AU16</f>
        <v>211400</v>
      </c>
      <c r="R16" s="177">
        <f t="shared" si="32"/>
        <v>706900</v>
      </c>
      <c r="S16" s="177">
        <f t="shared" si="5"/>
        <v>251500</v>
      </c>
      <c r="T16" s="177">
        <f t="shared" si="6"/>
        <v>61700</v>
      </c>
      <c r="U16" s="179">
        <f t="shared" si="7"/>
        <v>95400</v>
      </c>
      <c r="V16" s="177">
        <f>BG16+BJ16</f>
        <v>152400</v>
      </c>
      <c r="W16" s="177">
        <f t="shared" si="9"/>
        <v>59600</v>
      </c>
      <c r="X16" s="177">
        <f>BH16+BI16</f>
        <v>409500</v>
      </c>
      <c r="Y16" s="177">
        <f>BK16+BL16+BN16</f>
        <v>544600</v>
      </c>
      <c r="Z16" s="177">
        <f t="shared" si="12"/>
        <v>61500</v>
      </c>
      <c r="AA16" s="177">
        <f>BO16+BQ16</f>
        <v>141900</v>
      </c>
      <c r="AB16" s="179">
        <f t="shared" si="14"/>
        <v>60800</v>
      </c>
      <c r="AC16" s="177">
        <f t="shared" si="15"/>
        <v>106700</v>
      </c>
      <c r="AD16" s="177">
        <f t="shared" si="16"/>
        <v>63800</v>
      </c>
      <c r="AE16" s="177">
        <f>BS16+BT16</f>
        <v>253800</v>
      </c>
      <c r="AF16" s="177">
        <f t="shared" si="18"/>
        <v>100100</v>
      </c>
      <c r="AG16" s="177">
        <f t="shared" si="19"/>
        <v>218900</v>
      </c>
      <c r="AH16" s="177">
        <f t="shared" si="20"/>
        <v>127800</v>
      </c>
      <c r="AI16" s="177">
        <f t="shared" si="21"/>
        <v>68400</v>
      </c>
      <c r="AJ16" s="177">
        <f t="shared" si="22"/>
        <v>69500</v>
      </c>
      <c r="AK16" s="179">
        <f t="shared" si="23"/>
        <v>70400</v>
      </c>
      <c r="AL16" s="177">
        <f t="shared" si="24"/>
        <v>87300</v>
      </c>
      <c r="AM16" s="177">
        <f t="shared" si="25"/>
        <v>95400</v>
      </c>
      <c r="AN16" s="177">
        <f t="shared" si="26"/>
        <v>141300</v>
      </c>
      <c r="AO16" s="177">
        <f t="shared" si="27"/>
        <v>138400</v>
      </c>
      <c r="AP16" s="177">
        <f t="shared" si="28"/>
        <v>97300</v>
      </c>
      <c r="AQ16" s="177">
        <f t="shared" si="29"/>
        <v>65000</v>
      </c>
      <c r="AR16" s="177">
        <f t="shared" si="30"/>
        <v>107900</v>
      </c>
      <c r="AS16" s="178">
        <f>CF16+CG16</f>
        <v>181200</v>
      </c>
      <c r="AT16" s="181">
        <v>470600</v>
      </c>
      <c r="AU16" s="181">
        <v>211400</v>
      </c>
      <c r="AV16" s="181">
        <v>251500</v>
      </c>
      <c r="AW16" s="181">
        <v>111200</v>
      </c>
      <c r="AX16" s="181">
        <v>236300</v>
      </c>
      <c r="AY16" s="177">
        <v>181300</v>
      </c>
      <c r="AZ16" s="177">
        <v>92600</v>
      </c>
      <c r="BA16" s="177">
        <v>152100</v>
      </c>
      <c r="BB16" s="177">
        <v>61700</v>
      </c>
      <c r="BC16" s="177">
        <v>95400</v>
      </c>
      <c r="BD16" s="177">
        <v>70600</v>
      </c>
      <c r="BE16" s="177">
        <v>63800</v>
      </c>
      <c r="BF16" s="179">
        <v>149400</v>
      </c>
      <c r="BG16" s="177">
        <v>42700</v>
      </c>
      <c r="BH16" s="177">
        <v>218500</v>
      </c>
      <c r="BI16" s="177">
        <v>191000</v>
      </c>
      <c r="BJ16" s="177">
        <v>109700</v>
      </c>
      <c r="BK16" s="177">
        <v>110300</v>
      </c>
      <c r="BL16" s="177">
        <v>220200</v>
      </c>
      <c r="BM16" s="177">
        <v>61500</v>
      </c>
      <c r="BN16" s="177">
        <v>214100</v>
      </c>
      <c r="BO16" s="177">
        <v>68700</v>
      </c>
      <c r="BP16" s="177">
        <v>60800</v>
      </c>
      <c r="BQ16" s="177">
        <v>73200</v>
      </c>
      <c r="BR16" s="179">
        <v>59600</v>
      </c>
      <c r="BS16" s="177">
        <v>149800</v>
      </c>
      <c r="BT16" s="177">
        <v>104000</v>
      </c>
      <c r="BU16" s="177">
        <v>63800</v>
      </c>
      <c r="BV16" s="177">
        <v>218900</v>
      </c>
      <c r="BW16" s="177">
        <v>68400</v>
      </c>
      <c r="BX16" s="177">
        <v>106700</v>
      </c>
      <c r="BY16" s="177">
        <v>69500</v>
      </c>
      <c r="BZ16" s="177">
        <v>127800</v>
      </c>
      <c r="CA16" s="177">
        <v>100100</v>
      </c>
      <c r="CB16" s="179">
        <v>70400</v>
      </c>
      <c r="CC16" s="177">
        <v>138400</v>
      </c>
      <c r="CD16" s="177">
        <v>97300</v>
      </c>
      <c r="CE16" s="177">
        <v>87300</v>
      </c>
      <c r="CF16" s="177">
        <v>109800</v>
      </c>
      <c r="CG16" s="177">
        <v>71400</v>
      </c>
      <c r="CH16" s="177">
        <v>95400</v>
      </c>
      <c r="CI16" s="177">
        <v>107900</v>
      </c>
      <c r="CJ16" s="177">
        <v>141300</v>
      </c>
      <c r="CK16" s="178">
        <v>65000</v>
      </c>
      <c r="CL16" s="180">
        <v>5571500</v>
      </c>
    </row>
    <row r="17" spans="1:90" ht="14.25">
      <c r="A17" s="93">
        <f>ROWS($A$3:A15)</f>
        <v>13</v>
      </c>
      <c r="B17" s="62" t="s">
        <v>262</v>
      </c>
      <c r="C17" s="242">
        <v>2010</v>
      </c>
      <c r="D17" s="319" t="s">
        <v>4</v>
      </c>
      <c r="E17" s="322"/>
      <c r="F17" s="207">
        <f>(AT16*AT17+AU16*AU17+AV16*AV17+AW16*AW17+AX16*AX17+AY16*AY17+AZ16*AZ17+BA16*BA17+BB16*BB17+BC16*BC17+BD16*BD17+BE16*BE17+BF16*BF17)/F16</f>
        <v>4.5980724462240428</v>
      </c>
      <c r="G17" s="208">
        <f>(BG16*BG17+BH16*BH17+BI16*BI17+BJ16*BJ17+BK16*BK17+BL16*BL17+BM16*BM17+BN16*BN17+BO16*BO17+BP16*BP17+BQ16*BQ17+BR16*BR17)/G16</f>
        <v>4.9634577740492167</v>
      </c>
      <c r="H17" s="208">
        <f>(BS16*BS17+BT16*BT17+BU16*BU17+BV16*BV17+BW16*BW17+BX16*BX17+BY16*BY17+BZ16*BZ17+CA16*CA17+CB16*CB17)/H16</f>
        <v>4.2283583472299426</v>
      </c>
      <c r="I17" s="209">
        <f>(CC16*CC17+CD16*CD17+CE16*CE17+CF16*CF17+CG16*CG17+CH16*CH17+CI16*CI17+CJ16*CJ17+CK16*CK17)/I16</f>
        <v>3.8945951859956236</v>
      </c>
      <c r="J17" s="213"/>
      <c r="K17" s="210">
        <f t="shared" si="0"/>
        <v>4.2</v>
      </c>
      <c r="L17" s="211">
        <f t="shared" si="1"/>
        <v>4.3</v>
      </c>
      <c r="M17" s="211">
        <f t="shared" si="2"/>
        <v>3.6</v>
      </c>
      <c r="N17" s="211">
        <f t="shared" si="3"/>
        <v>5</v>
      </c>
      <c r="O17" s="211">
        <f t="shared" si="4"/>
        <v>5.2</v>
      </c>
      <c r="P17" s="208">
        <f>ROUND((AZ16*AZ17/100+BA16*BA17/100)/P16%,1)</f>
        <v>4.9000000000000004</v>
      </c>
      <c r="Q17" s="211">
        <f>'2011'!AU17</f>
        <v>3.8</v>
      </c>
      <c r="R17" s="208">
        <f>ROUND((AT16*AT17/100+AX16*AX17/100)/R16%,1)</f>
        <v>5.3</v>
      </c>
      <c r="S17" s="211">
        <f t="shared" si="5"/>
        <v>4.3</v>
      </c>
      <c r="T17" s="211">
        <f t="shared" si="6"/>
        <v>3</v>
      </c>
      <c r="U17" s="212">
        <f t="shared" si="7"/>
        <v>3.5</v>
      </c>
      <c r="V17" s="208">
        <f>ROUND((BG16*BG17/100+BJ16*BJ17/100)/V16%,1)</f>
        <v>4.3</v>
      </c>
      <c r="W17" s="211">
        <f t="shared" si="9"/>
        <v>3.9</v>
      </c>
      <c r="X17" s="208">
        <f>ROUND((BH16*BH17/100+BI16*BI17/100)/X16%,1)</f>
        <v>4.7</v>
      </c>
      <c r="Y17" s="208">
        <f>ROUND((BK16*BK17/100+BL16*BL17/100+BN16*BN17/100)/Y16%,1)</f>
        <v>5.4</v>
      </c>
      <c r="Z17" s="211">
        <f t="shared" si="12"/>
        <v>4.5</v>
      </c>
      <c r="AA17" s="208">
        <f>ROUND((BO16*BO17/100+BQ16*BQ17/100)/AA16%,1)</f>
        <v>5.7</v>
      </c>
      <c r="AB17" s="212">
        <f t="shared" si="14"/>
        <v>4</v>
      </c>
      <c r="AC17" s="211">
        <f t="shared" si="15"/>
        <v>4.0999999999999996</v>
      </c>
      <c r="AD17" s="211">
        <f t="shared" si="16"/>
        <v>3.2</v>
      </c>
      <c r="AE17" s="208">
        <f>ROUND((BS16*BS17/100+BT16*BT17/100)/AE16%,1)</f>
        <v>5.0999999999999996</v>
      </c>
      <c r="AF17" s="211">
        <f t="shared" si="18"/>
        <v>4.2</v>
      </c>
      <c r="AG17" s="211">
        <f t="shared" si="19"/>
        <v>3.9</v>
      </c>
      <c r="AH17" s="211">
        <f t="shared" si="20"/>
        <v>4.7</v>
      </c>
      <c r="AI17" s="211">
        <f t="shared" si="21"/>
        <v>3.5</v>
      </c>
      <c r="AJ17" s="211">
        <f t="shared" si="22"/>
        <v>3.7</v>
      </c>
      <c r="AK17" s="212">
        <f t="shared" si="23"/>
        <v>3.8</v>
      </c>
      <c r="AL17" s="211">
        <f t="shared" si="24"/>
        <v>4.8</v>
      </c>
      <c r="AM17" s="211">
        <f t="shared" si="25"/>
        <v>2.9</v>
      </c>
      <c r="AN17" s="211">
        <f t="shared" si="26"/>
        <v>3.2</v>
      </c>
      <c r="AO17" s="211">
        <f t="shared" si="27"/>
        <v>4.2</v>
      </c>
      <c r="AP17" s="211">
        <f t="shared" si="28"/>
        <v>4.0999999999999996</v>
      </c>
      <c r="AQ17" s="211">
        <f t="shared" si="29"/>
        <v>4.2</v>
      </c>
      <c r="AR17" s="211">
        <f t="shared" si="30"/>
        <v>3.7</v>
      </c>
      <c r="AS17" s="209">
        <f>ROUND((CF16*CF17/100+CG16*CG17/100)/AS16%,1)</f>
        <v>4.2</v>
      </c>
      <c r="AT17" s="213">
        <v>5.8</v>
      </c>
      <c r="AU17" s="211">
        <v>3.8</v>
      </c>
      <c r="AV17" s="211">
        <v>4.3</v>
      </c>
      <c r="AW17" s="211">
        <v>5</v>
      </c>
      <c r="AX17" s="211">
        <v>4.2</v>
      </c>
      <c r="AY17" s="211">
        <v>4.3</v>
      </c>
      <c r="AZ17" s="211">
        <v>6.4</v>
      </c>
      <c r="BA17" s="211">
        <v>4</v>
      </c>
      <c r="BB17" s="211">
        <v>3</v>
      </c>
      <c r="BC17" s="211">
        <v>3.5</v>
      </c>
      <c r="BD17" s="211">
        <v>3.6</v>
      </c>
      <c r="BE17" s="211">
        <v>5.2</v>
      </c>
      <c r="BF17" s="212">
        <v>4.2</v>
      </c>
      <c r="BG17" s="211">
        <v>6.1</v>
      </c>
      <c r="BH17" s="211">
        <v>5.8</v>
      </c>
      <c r="BI17" s="211">
        <v>3.5</v>
      </c>
      <c r="BJ17" s="211">
        <v>3.6</v>
      </c>
      <c r="BK17" s="211">
        <v>5.6</v>
      </c>
      <c r="BL17" s="211">
        <v>7</v>
      </c>
      <c r="BM17" s="211">
        <v>4.5</v>
      </c>
      <c r="BN17" s="211">
        <v>3.7</v>
      </c>
      <c r="BO17" s="211">
        <v>8.1999999999999993</v>
      </c>
      <c r="BP17" s="211">
        <v>4</v>
      </c>
      <c r="BQ17" s="211">
        <v>3.3</v>
      </c>
      <c r="BR17" s="212">
        <v>3.9</v>
      </c>
      <c r="BS17" s="211">
        <v>6</v>
      </c>
      <c r="BT17" s="211">
        <v>3.7</v>
      </c>
      <c r="BU17" s="211">
        <v>3.2</v>
      </c>
      <c r="BV17" s="211">
        <v>3.9</v>
      </c>
      <c r="BW17" s="211">
        <v>3.5</v>
      </c>
      <c r="BX17" s="211">
        <v>4.0999999999999996</v>
      </c>
      <c r="BY17" s="211">
        <v>3.7</v>
      </c>
      <c r="BZ17" s="211">
        <v>4.7</v>
      </c>
      <c r="CA17" s="211">
        <v>4.2</v>
      </c>
      <c r="CB17" s="212">
        <v>3.8</v>
      </c>
      <c r="CC17" s="211">
        <v>4.2</v>
      </c>
      <c r="CD17" s="211">
        <v>4.0999999999999996</v>
      </c>
      <c r="CE17" s="211">
        <v>4.8</v>
      </c>
      <c r="CF17" s="211">
        <v>4.9000000000000004</v>
      </c>
      <c r="CG17" s="213">
        <v>3.1</v>
      </c>
      <c r="CH17" s="211">
        <v>2.9</v>
      </c>
      <c r="CI17" s="211">
        <v>3.7</v>
      </c>
      <c r="CJ17" s="211">
        <v>3.2</v>
      </c>
      <c r="CK17" s="214">
        <v>4.2</v>
      </c>
      <c r="CL17" s="403">
        <v>4.9000000000000004</v>
      </c>
    </row>
    <row r="18" spans="1:90">
      <c r="A18" s="93">
        <f>ROWS($A$3:A16)</f>
        <v>14</v>
      </c>
      <c r="B18" s="297" t="s">
        <v>304</v>
      </c>
      <c r="C18" s="242">
        <v>2010</v>
      </c>
      <c r="D18" s="319" t="s">
        <v>12</v>
      </c>
      <c r="E18" s="322">
        <v>40897</v>
      </c>
      <c r="F18" s="377">
        <v>65993</v>
      </c>
      <c r="G18" s="181">
        <v>23507</v>
      </c>
      <c r="H18" s="181">
        <v>61838</v>
      </c>
      <c r="I18" s="373">
        <v>38779</v>
      </c>
      <c r="J18" s="213"/>
      <c r="K18" s="156">
        <f>BF18</f>
        <v>4934</v>
      </c>
      <c r="L18" s="177">
        <f>AY18</f>
        <v>7021</v>
      </c>
      <c r="M18" s="177">
        <f>BD18</f>
        <v>5124</v>
      </c>
      <c r="N18" s="177">
        <f>AW18</f>
        <v>2210</v>
      </c>
      <c r="O18" s="177">
        <f>BE18</f>
        <v>1489</v>
      </c>
      <c r="P18" s="183">
        <f>'2011'!AZ18+'2011'!BA18</f>
        <v>17120</v>
      </c>
      <c r="Q18" s="177">
        <f>'2011'!AU18</f>
        <v>2058</v>
      </c>
      <c r="R18" s="183">
        <f>AT18+AX18</f>
        <v>10987</v>
      </c>
      <c r="S18" s="177">
        <f>AV18</f>
        <v>3162</v>
      </c>
      <c r="T18" s="177">
        <f>BB18</f>
        <v>6346</v>
      </c>
      <c r="U18" s="179">
        <f>BC18</f>
        <v>5542</v>
      </c>
      <c r="V18" s="183">
        <f>BG18+BJ18</f>
        <v>4880</v>
      </c>
      <c r="W18" s="177">
        <f>BR18</f>
        <v>1361</v>
      </c>
      <c r="X18" s="183">
        <f>BH18+BI18</f>
        <v>4844</v>
      </c>
      <c r="Y18" s="183">
        <f>BK18+BL18+BN18</f>
        <v>7056</v>
      </c>
      <c r="Z18" s="177">
        <f>BM18</f>
        <v>2304</v>
      </c>
      <c r="AA18" s="183">
        <f>BO18+BQ18</f>
        <v>1794</v>
      </c>
      <c r="AB18" s="179">
        <f>BP18</f>
        <v>1268</v>
      </c>
      <c r="AC18" s="177">
        <f>BX18</f>
        <v>2733</v>
      </c>
      <c r="AD18" s="177">
        <f>BU18</f>
        <v>7866</v>
      </c>
      <c r="AE18" s="183">
        <f>BS18+BT18</f>
        <v>18280</v>
      </c>
      <c r="AF18" s="177">
        <f>CA18</f>
        <v>4720</v>
      </c>
      <c r="AG18" s="177">
        <f>BV18</f>
        <v>17311</v>
      </c>
      <c r="AH18" s="177">
        <f>BZ18</f>
        <v>4262</v>
      </c>
      <c r="AI18" s="177">
        <f>BW18</f>
        <v>2093</v>
      </c>
      <c r="AJ18" s="177">
        <f>BY18</f>
        <v>1213</v>
      </c>
      <c r="AK18" s="179">
        <f>CB18</f>
        <v>3360</v>
      </c>
      <c r="AL18" s="177">
        <f>CE18</f>
        <v>1830</v>
      </c>
      <c r="AM18" s="177">
        <f>CH18</f>
        <v>4842</v>
      </c>
      <c r="AN18" s="177">
        <f>CJ18</f>
        <v>7938</v>
      </c>
      <c r="AO18" s="177">
        <f>CC18</f>
        <v>2927</v>
      </c>
      <c r="AP18" s="177">
        <f>CD18</f>
        <v>1223</v>
      </c>
      <c r="AQ18" s="177">
        <f>CK18</f>
        <v>3291</v>
      </c>
      <c r="AR18" s="177">
        <f>CI18</f>
        <v>11655</v>
      </c>
      <c r="AS18" s="184">
        <f>CF18+CG18</f>
        <v>5073</v>
      </c>
      <c r="AT18" s="181">
        <v>2162</v>
      </c>
      <c r="AU18" s="177">
        <v>2058</v>
      </c>
      <c r="AV18" s="177">
        <v>3162</v>
      </c>
      <c r="AW18" s="177">
        <v>2210</v>
      </c>
      <c r="AX18" s="177">
        <v>8825</v>
      </c>
      <c r="AY18" s="177">
        <v>7021</v>
      </c>
      <c r="AZ18" s="177">
        <v>1905</v>
      </c>
      <c r="BA18" s="177">
        <v>15215</v>
      </c>
      <c r="BB18" s="177">
        <v>6346</v>
      </c>
      <c r="BC18" s="177">
        <v>5542</v>
      </c>
      <c r="BD18" s="177">
        <v>5124</v>
      </c>
      <c r="BE18" s="177">
        <v>1489</v>
      </c>
      <c r="BF18" s="179">
        <v>4934</v>
      </c>
      <c r="BG18" s="177">
        <v>847</v>
      </c>
      <c r="BH18" s="177">
        <v>629</v>
      </c>
      <c r="BI18" s="177">
        <v>4215</v>
      </c>
      <c r="BJ18" s="177">
        <v>4033</v>
      </c>
      <c r="BK18" s="177">
        <v>594</v>
      </c>
      <c r="BL18" s="177">
        <v>413</v>
      </c>
      <c r="BM18" s="177">
        <v>2304</v>
      </c>
      <c r="BN18" s="177">
        <v>6049</v>
      </c>
      <c r="BO18" s="177">
        <v>89</v>
      </c>
      <c r="BP18" s="177">
        <v>1268</v>
      </c>
      <c r="BQ18" s="177">
        <v>1705</v>
      </c>
      <c r="BR18" s="179">
        <v>1361</v>
      </c>
      <c r="BS18" s="177">
        <v>1611</v>
      </c>
      <c r="BT18" s="177">
        <v>16669</v>
      </c>
      <c r="BU18" s="177">
        <v>7866</v>
      </c>
      <c r="BV18" s="177">
        <v>17311</v>
      </c>
      <c r="BW18" s="177">
        <v>2093</v>
      </c>
      <c r="BX18" s="177">
        <v>2733</v>
      </c>
      <c r="BY18" s="177">
        <v>1213</v>
      </c>
      <c r="BZ18" s="177">
        <v>4262</v>
      </c>
      <c r="CA18" s="177">
        <v>4720</v>
      </c>
      <c r="CB18" s="179">
        <v>3360</v>
      </c>
      <c r="CC18" s="177">
        <v>2927</v>
      </c>
      <c r="CD18" s="177">
        <v>1223</v>
      </c>
      <c r="CE18" s="177">
        <v>1830</v>
      </c>
      <c r="CF18" s="177">
        <v>352</v>
      </c>
      <c r="CG18" s="181">
        <v>4721</v>
      </c>
      <c r="CH18" s="177">
        <v>4842</v>
      </c>
      <c r="CI18" s="177">
        <v>11655</v>
      </c>
      <c r="CJ18" s="177">
        <v>7938</v>
      </c>
      <c r="CK18" s="178">
        <v>3291</v>
      </c>
      <c r="CL18" s="404">
        <v>190117</v>
      </c>
    </row>
    <row r="19" spans="1:90">
      <c r="A19" s="93">
        <f>ROWS($A$3:A17)</f>
        <v>15</v>
      </c>
      <c r="B19" s="297" t="s">
        <v>302</v>
      </c>
      <c r="C19" s="242">
        <v>2010</v>
      </c>
      <c r="D19" s="319" t="s">
        <v>12</v>
      </c>
      <c r="E19" s="322">
        <v>40897</v>
      </c>
      <c r="F19" s="377">
        <v>5615</v>
      </c>
      <c r="G19" s="181">
        <v>2911</v>
      </c>
      <c r="H19" s="181">
        <v>3441</v>
      </c>
      <c r="I19" s="373">
        <v>3372</v>
      </c>
      <c r="J19" s="213"/>
      <c r="K19" s="156">
        <f>BF19</f>
        <v>419</v>
      </c>
      <c r="L19" s="177">
        <f>AY19</f>
        <v>599</v>
      </c>
      <c r="M19" s="177">
        <f>BD19</f>
        <v>294</v>
      </c>
      <c r="N19" s="177">
        <f>AW19</f>
        <v>197</v>
      </c>
      <c r="O19" s="177">
        <f>BE19</f>
        <v>127</v>
      </c>
      <c r="P19" s="183">
        <f>'2011'!AZ19+'2011'!BA19</f>
        <v>874</v>
      </c>
      <c r="Q19" s="177">
        <f>'2011'!AU19</f>
        <v>245</v>
      </c>
      <c r="R19" s="183">
        <f>AT19+AX19</f>
        <v>1538</v>
      </c>
      <c r="S19" s="177">
        <f>AV19</f>
        <v>544</v>
      </c>
      <c r="T19" s="177">
        <f>BB19</f>
        <v>375</v>
      </c>
      <c r="U19" s="179">
        <f>BC19</f>
        <v>403</v>
      </c>
      <c r="V19" s="183">
        <f>BG19+BJ19</f>
        <v>641</v>
      </c>
      <c r="W19" s="177">
        <f>BR19</f>
        <v>114</v>
      </c>
      <c r="X19" s="183">
        <f>BH19+BI19</f>
        <v>456</v>
      </c>
      <c r="Y19" s="183">
        <f>BK19+BL19+BN19</f>
        <v>625</v>
      </c>
      <c r="Z19" s="177">
        <f>BM19</f>
        <v>620</v>
      </c>
      <c r="AA19" s="183">
        <f>BO19+BQ19</f>
        <v>307</v>
      </c>
      <c r="AB19" s="179">
        <f>BP19</f>
        <v>148</v>
      </c>
      <c r="AC19" s="177">
        <f>BX19</f>
        <v>152</v>
      </c>
      <c r="AD19" s="177">
        <f>BU19</f>
        <v>287</v>
      </c>
      <c r="AE19" s="183">
        <f>BS19+BT19</f>
        <v>725</v>
      </c>
      <c r="AF19" s="177">
        <f>CA19</f>
        <v>441</v>
      </c>
      <c r="AG19" s="177">
        <f>BV19</f>
        <v>749</v>
      </c>
      <c r="AH19" s="177">
        <f>BZ19</f>
        <v>675</v>
      </c>
      <c r="AI19" s="177">
        <f>BW19</f>
        <v>165</v>
      </c>
      <c r="AJ19" s="177">
        <f>BY19</f>
        <v>75</v>
      </c>
      <c r="AK19" s="179">
        <f>CB19</f>
        <v>172</v>
      </c>
      <c r="AL19" s="177">
        <f>CE19</f>
        <v>206</v>
      </c>
      <c r="AM19" s="177">
        <f>CH19</f>
        <v>449</v>
      </c>
      <c r="AN19" s="177">
        <f>CJ19</f>
        <v>699</v>
      </c>
      <c r="AO19" s="177">
        <f>CC19</f>
        <v>477</v>
      </c>
      <c r="AP19" s="177">
        <f>CD19</f>
        <v>152</v>
      </c>
      <c r="AQ19" s="177">
        <f>CK19</f>
        <v>380</v>
      </c>
      <c r="AR19" s="177">
        <f>CI19</f>
        <v>633</v>
      </c>
      <c r="AS19" s="184">
        <f>CF19+CG19</f>
        <v>376</v>
      </c>
      <c r="AT19" s="181">
        <v>362</v>
      </c>
      <c r="AU19" s="177">
        <v>245</v>
      </c>
      <c r="AV19" s="177">
        <v>544</v>
      </c>
      <c r="AW19" s="177">
        <v>197</v>
      </c>
      <c r="AX19" s="177">
        <v>1176</v>
      </c>
      <c r="AY19" s="177">
        <v>599</v>
      </c>
      <c r="AZ19" s="177">
        <v>203</v>
      </c>
      <c r="BA19" s="177">
        <v>671</v>
      </c>
      <c r="BB19" s="177">
        <v>375</v>
      </c>
      <c r="BC19" s="177">
        <v>403</v>
      </c>
      <c r="BD19" s="177">
        <v>294</v>
      </c>
      <c r="BE19" s="177">
        <v>127</v>
      </c>
      <c r="BF19" s="179">
        <v>419</v>
      </c>
      <c r="BG19" s="177">
        <v>131</v>
      </c>
      <c r="BH19" s="177">
        <v>364</v>
      </c>
      <c r="BI19" s="177">
        <v>92</v>
      </c>
      <c r="BJ19" s="177">
        <v>510</v>
      </c>
      <c r="BK19" s="177">
        <v>108</v>
      </c>
      <c r="BL19" s="177">
        <v>222</v>
      </c>
      <c r="BM19" s="177">
        <v>620</v>
      </c>
      <c r="BN19" s="177">
        <v>295</v>
      </c>
      <c r="BO19" s="177">
        <v>62</v>
      </c>
      <c r="BP19" s="177">
        <v>148</v>
      </c>
      <c r="BQ19" s="177">
        <v>245</v>
      </c>
      <c r="BR19" s="179">
        <v>114</v>
      </c>
      <c r="BS19" s="177">
        <v>103</v>
      </c>
      <c r="BT19" s="177">
        <v>622</v>
      </c>
      <c r="BU19" s="177">
        <v>287</v>
      </c>
      <c r="BV19" s="177">
        <v>749</v>
      </c>
      <c r="BW19" s="177">
        <v>165</v>
      </c>
      <c r="BX19" s="177">
        <v>152</v>
      </c>
      <c r="BY19" s="177">
        <v>75</v>
      </c>
      <c r="BZ19" s="177">
        <v>675</v>
      </c>
      <c r="CA19" s="177">
        <v>441</v>
      </c>
      <c r="CB19" s="179">
        <v>172</v>
      </c>
      <c r="CC19" s="177">
        <v>477</v>
      </c>
      <c r="CD19" s="177">
        <v>152</v>
      </c>
      <c r="CE19" s="177">
        <v>206</v>
      </c>
      <c r="CF19" s="177">
        <v>74</v>
      </c>
      <c r="CG19" s="181">
        <v>302</v>
      </c>
      <c r="CH19" s="177">
        <v>449</v>
      </c>
      <c r="CI19" s="177">
        <v>633</v>
      </c>
      <c r="CJ19" s="177">
        <v>699</v>
      </c>
      <c r="CK19" s="178">
        <v>380</v>
      </c>
      <c r="CL19" s="404">
        <v>15339</v>
      </c>
    </row>
    <row r="20" spans="1:90">
      <c r="A20" s="93">
        <f>ROWS($A$3:A18)</f>
        <v>16</v>
      </c>
      <c r="B20" s="106" t="s">
        <v>68</v>
      </c>
      <c r="C20" s="242">
        <v>2009</v>
      </c>
      <c r="D20" s="319" t="s">
        <v>3</v>
      </c>
      <c r="E20" s="322"/>
      <c r="F20" s="210">
        <v>119.642</v>
      </c>
      <c r="G20" s="211">
        <v>80.956000000000003</v>
      </c>
      <c r="H20" s="211">
        <v>55.253999999999998</v>
      </c>
      <c r="I20" s="214">
        <v>48.87</v>
      </c>
      <c r="J20" s="213"/>
      <c r="K20" s="210">
        <f t="shared" si="0"/>
        <v>8.1790000000000003</v>
      </c>
      <c r="L20" s="211">
        <f t="shared" si="1"/>
        <v>9.5470000000000006</v>
      </c>
      <c r="M20" s="211">
        <f t="shared" si="2"/>
        <v>3.577</v>
      </c>
      <c r="N20" s="211">
        <f t="shared" si="3"/>
        <v>5.577</v>
      </c>
      <c r="O20" s="211">
        <f t="shared" si="4"/>
        <v>3.2160000000000002</v>
      </c>
      <c r="P20" s="211">
        <f>'2011'!AZ20+'2011'!BA20</f>
        <v>13.239000000000001</v>
      </c>
      <c r="Q20" s="211">
        <f>'2011'!AU20</f>
        <v>12.089</v>
      </c>
      <c r="R20" s="211">
        <f>AT20+AX20</f>
        <v>42.289000000000001</v>
      </c>
      <c r="S20" s="211">
        <f t="shared" si="5"/>
        <v>13.579000000000001</v>
      </c>
      <c r="T20" s="211">
        <f t="shared" si="6"/>
        <v>2.9460000000000002</v>
      </c>
      <c r="U20" s="212">
        <f t="shared" si="7"/>
        <v>5.4029999999999996</v>
      </c>
      <c r="V20" s="211">
        <f>BG20+BJ20</f>
        <v>8.07</v>
      </c>
      <c r="W20" s="211">
        <f t="shared" si="9"/>
        <v>3.1349999999999998</v>
      </c>
      <c r="X20" s="211">
        <f>BH20+BI20</f>
        <v>24.027999999999999</v>
      </c>
      <c r="Y20" s="211">
        <f>BK20+BL20+BN20</f>
        <v>32.101999999999997</v>
      </c>
      <c r="Z20" s="211">
        <f t="shared" si="12"/>
        <v>3.2050000000000001</v>
      </c>
      <c r="AA20" s="211">
        <f>BO20+BQ20</f>
        <v>7.3849999999999998</v>
      </c>
      <c r="AB20" s="212">
        <f t="shared" si="14"/>
        <v>3.0329999999999999</v>
      </c>
      <c r="AC20" s="211">
        <f t="shared" si="15"/>
        <v>5.4429999999999996</v>
      </c>
      <c r="AD20" s="211">
        <f t="shared" si="16"/>
        <v>3.0830000000000002</v>
      </c>
      <c r="AE20" s="211">
        <f>BS20+BT20</f>
        <v>12.149000000000001</v>
      </c>
      <c r="AF20" s="211">
        <f t="shared" si="18"/>
        <v>5.1779999999999999</v>
      </c>
      <c r="AG20" s="211">
        <f t="shared" si="19"/>
        <v>11.313000000000001</v>
      </c>
      <c r="AH20" s="211">
        <f t="shared" si="20"/>
        <v>6.9450000000000003</v>
      </c>
      <c r="AI20" s="211">
        <f t="shared" si="21"/>
        <v>3.629</v>
      </c>
      <c r="AJ20" s="211">
        <f t="shared" si="22"/>
        <v>3.7759999999999998</v>
      </c>
      <c r="AK20" s="212">
        <f t="shared" si="23"/>
        <v>3.7370000000000001</v>
      </c>
      <c r="AL20" s="211">
        <f t="shared" si="24"/>
        <v>4.5350000000000001</v>
      </c>
      <c r="AM20" s="211">
        <f t="shared" si="25"/>
        <v>5.6319999999999997</v>
      </c>
      <c r="AN20" s="211">
        <f t="shared" si="26"/>
        <v>7.3380000000000001</v>
      </c>
      <c r="AO20" s="211">
        <f t="shared" si="27"/>
        <v>7.234</v>
      </c>
      <c r="AP20" s="211">
        <f t="shared" si="28"/>
        <v>4.8689999999999998</v>
      </c>
      <c r="AQ20" s="211">
        <f t="shared" si="29"/>
        <v>3.2170000000000001</v>
      </c>
      <c r="AR20" s="211">
        <f t="shared" si="30"/>
        <v>6.0250000000000004</v>
      </c>
      <c r="AS20" s="214">
        <f>CF20+CG20</f>
        <v>10.02</v>
      </c>
      <c r="AT20" s="213">
        <v>28.690999999999999</v>
      </c>
      <c r="AU20" s="211">
        <v>12.089</v>
      </c>
      <c r="AV20" s="211">
        <v>13.579000000000001</v>
      </c>
      <c r="AW20" s="211">
        <v>5.577</v>
      </c>
      <c r="AX20" s="211">
        <v>13.598000000000001</v>
      </c>
      <c r="AY20" s="211">
        <v>9.5470000000000006</v>
      </c>
      <c r="AZ20" s="211">
        <v>4.55</v>
      </c>
      <c r="BA20" s="211">
        <v>8.6890000000000001</v>
      </c>
      <c r="BB20" s="211">
        <v>2.9460000000000002</v>
      </c>
      <c r="BC20" s="211">
        <v>5.4029999999999996</v>
      </c>
      <c r="BD20" s="211">
        <v>3.577</v>
      </c>
      <c r="BE20" s="211">
        <v>3.2160000000000002</v>
      </c>
      <c r="BF20" s="212">
        <v>8.1790000000000003</v>
      </c>
      <c r="BG20" s="211">
        <v>2.069</v>
      </c>
      <c r="BH20" s="211">
        <v>13.215999999999999</v>
      </c>
      <c r="BI20" s="211">
        <v>10.811999999999999</v>
      </c>
      <c r="BJ20" s="211">
        <v>6.0010000000000003</v>
      </c>
      <c r="BK20" s="211">
        <v>5.7130000000000001</v>
      </c>
      <c r="BL20" s="211">
        <v>13.994999999999999</v>
      </c>
      <c r="BM20" s="211">
        <v>3.2050000000000001</v>
      </c>
      <c r="BN20" s="211">
        <v>12.394</v>
      </c>
      <c r="BO20" s="211">
        <v>3.65</v>
      </c>
      <c r="BP20" s="211">
        <v>3.0329999999999999</v>
      </c>
      <c r="BQ20" s="211">
        <v>3.7349999999999999</v>
      </c>
      <c r="BR20" s="212">
        <v>3.1349999999999998</v>
      </c>
      <c r="BS20" s="211">
        <v>7.3529999999999998</v>
      </c>
      <c r="BT20" s="211">
        <v>4.7960000000000003</v>
      </c>
      <c r="BU20" s="211">
        <v>3.0830000000000002</v>
      </c>
      <c r="BV20" s="211">
        <v>11.313000000000001</v>
      </c>
      <c r="BW20" s="211">
        <v>3.629</v>
      </c>
      <c r="BX20" s="211">
        <v>5.4429999999999996</v>
      </c>
      <c r="BY20" s="211">
        <v>3.7759999999999998</v>
      </c>
      <c r="BZ20" s="211">
        <v>6.9450000000000003</v>
      </c>
      <c r="CA20" s="211">
        <v>5.1779999999999999</v>
      </c>
      <c r="CB20" s="212">
        <v>3.7370000000000001</v>
      </c>
      <c r="CC20" s="211">
        <v>7.234</v>
      </c>
      <c r="CD20" s="211">
        <v>4.8689999999999998</v>
      </c>
      <c r="CE20" s="211">
        <v>4.5350000000000001</v>
      </c>
      <c r="CF20" s="211">
        <v>5.8289999999999997</v>
      </c>
      <c r="CG20" s="213">
        <v>4.1909999999999998</v>
      </c>
      <c r="CH20" s="211">
        <v>5.6319999999999997</v>
      </c>
      <c r="CI20" s="211">
        <v>6.0250000000000004</v>
      </c>
      <c r="CJ20" s="211">
        <v>7.3380000000000001</v>
      </c>
      <c r="CK20" s="214">
        <v>3.2170000000000001</v>
      </c>
      <c r="CL20" s="215">
        <v>304.72300000000001</v>
      </c>
    </row>
    <row r="21" spans="1:90">
      <c r="A21" s="93">
        <f>ROWS($A$3:A19)</f>
        <v>17</v>
      </c>
      <c r="B21" s="60" t="s">
        <v>65</v>
      </c>
      <c r="C21" s="323"/>
      <c r="D21" s="321" t="s">
        <v>4</v>
      </c>
      <c r="E21" s="320"/>
      <c r="F21" s="207">
        <f>F118/F20%</f>
        <v>0.59009377977633271</v>
      </c>
      <c r="G21" s="208">
        <f>G118/G20%</f>
        <v>0.44962695785364887</v>
      </c>
      <c r="H21" s="208">
        <f>H118/H20%</f>
        <v>0.91758062764686721</v>
      </c>
      <c r="I21" s="209">
        <f>I118/I20%</f>
        <v>0.86556169429097607</v>
      </c>
      <c r="J21" s="213"/>
      <c r="K21" s="207">
        <f t="shared" ref="K21:AP21" si="34">K118/K20%</f>
        <v>0.90475608265069074</v>
      </c>
      <c r="L21" s="208">
        <f t="shared" si="34"/>
        <v>0.74368911700010465</v>
      </c>
      <c r="M21" s="208">
        <f t="shared" si="34"/>
        <v>1.481688565837294</v>
      </c>
      <c r="N21" s="208">
        <f t="shared" si="34"/>
        <v>0.55585440200824821</v>
      </c>
      <c r="O21" s="208">
        <f t="shared" si="34"/>
        <v>0.90174129353233834</v>
      </c>
      <c r="P21" s="208">
        <f t="shared" si="34"/>
        <v>0.71757685625802548</v>
      </c>
      <c r="Q21" s="208">
        <f t="shared" si="34"/>
        <v>0.29779138059392835</v>
      </c>
      <c r="R21" s="208">
        <f t="shared" si="34"/>
        <v>0.29322045922107404</v>
      </c>
      <c r="S21" s="208">
        <f t="shared" si="34"/>
        <v>0.39030856469548569</v>
      </c>
      <c r="T21" s="208">
        <f t="shared" si="34"/>
        <v>1.9008825526137136</v>
      </c>
      <c r="U21" s="216">
        <f t="shared" si="34"/>
        <v>1.5546918378678514</v>
      </c>
      <c r="V21" s="208">
        <f t="shared" si="34"/>
        <v>0.70631970260223043</v>
      </c>
      <c r="W21" s="208">
        <f t="shared" si="34"/>
        <v>0.82934609250398728</v>
      </c>
      <c r="X21" s="208">
        <f t="shared" si="34"/>
        <v>0.28716497419677045</v>
      </c>
      <c r="Y21" s="208">
        <f t="shared" si="34"/>
        <v>0.31462214192262167</v>
      </c>
      <c r="Z21" s="208">
        <f t="shared" si="34"/>
        <v>1.2792511700468019</v>
      </c>
      <c r="AA21" s="208">
        <f t="shared" si="34"/>
        <v>0.50101557210561953</v>
      </c>
      <c r="AB21" s="216">
        <f t="shared" si="34"/>
        <v>1.0880316518298714</v>
      </c>
      <c r="AC21" s="208">
        <f t="shared" si="34"/>
        <v>0.66139996325555761</v>
      </c>
      <c r="AD21" s="208">
        <f t="shared" si="34"/>
        <v>1.3947453778786894</v>
      </c>
      <c r="AE21" s="208">
        <f t="shared" si="34"/>
        <v>0.88073092435591394</v>
      </c>
      <c r="AF21" s="208">
        <f t="shared" si="34"/>
        <v>0.84974893781382765</v>
      </c>
      <c r="AG21" s="208">
        <f t="shared" si="34"/>
        <v>1.0960841509767523</v>
      </c>
      <c r="AH21" s="208">
        <f t="shared" si="34"/>
        <v>1.0655147588192944</v>
      </c>
      <c r="AI21" s="208">
        <f t="shared" si="34"/>
        <v>0.82667401488013215</v>
      </c>
      <c r="AJ21" s="208">
        <f t="shared" si="34"/>
        <v>0.50317796610169496</v>
      </c>
      <c r="AK21" s="216">
        <f t="shared" si="34"/>
        <v>0.82954241370082948</v>
      </c>
      <c r="AL21" s="208">
        <f t="shared" si="34"/>
        <v>0.70562293274531418</v>
      </c>
      <c r="AM21" s="208">
        <f t="shared" si="34"/>
        <v>1.1718750000000002</v>
      </c>
      <c r="AN21" s="208">
        <f t="shared" si="34"/>
        <v>1.2401199236849276</v>
      </c>
      <c r="AO21" s="208">
        <f t="shared" si="34"/>
        <v>0.63588609344760849</v>
      </c>
      <c r="AP21" s="208">
        <f t="shared" si="34"/>
        <v>0.39022386527007602</v>
      </c>
      <c r="AQ21" s="208">
        <f t="shared" ref="AQ21:BV21" si="35">AQ118/AQ20%</f>
        <v>1.3988187752564498</v>
      </c>
      <c r="AR21" s="208">
        <f t="shared" si="35"/>
        <v>1.0622406639004149</v>
      </c>
      <c r="AS21" s="209">
        <f t="shared" si="35"/>
        <v>0.5988023952095809</v>
      </c>
      <c r="AT21" s="208">
        <f t="shared" si="35"/>
        <v>0.15335819594994946</v>
      </c>
      <c r="AU21" s="208">
        <f t="shared" si="35"/>
        <v>0.29779138059392835</v>
      </c>
      <c r="AV21" s="208">
        <f t="shared" si="35"/>
        <v>0.39030856469548569</v>
      </c>
      <c r="AW21" s="208">
        <f t="shared" si="35"/>
        <v>0.55585440200824821</v>
      </c>
      <c r="AX21" s="208">
        <f t="shared" si="35"/>
        <v>0.58832181203118095</v>
      </c>
      <c r="AY21" s="208">
        <f t="shared" si="35"/>
        <v>0.74368911700010465</v>
      </c>
      <c r="AZ21" s="208">
        <f t="shared" si="35"/>
        <v>0.30769230769230771</v>
      </c>
      <c r="BA21" s="208">
        <f t="shared" si="35"/>
        <v>0.9322131430544367</v>
      </c>
      <c r="BB21" s="208">
        <f t="shared" si="35"/>
        <v>1.9008825526137136</v>
      </c>
      <c r="BC21" s="208">
        <f t="shared" si="35"/>
        <v>1.5546918378678514</v>
      </c>
      <c r="BD21" s="208">
        <f t="shared" si="35"/>
        <v>1.481688565837294</v>
      </c>
      <c r="BE21" s="208">
        <f t="shared" si="35"/>
        <v>0.90174129353233834</v>
      </c>
      <c r="BF21" s="216">
        <f t="shared" si="35"/>
        <v>0.90475608265069074</v>
      </c>
      <c r="BG21" s="208">
        <f t="shared" si="35"/>
        <v>0.77332044465925565</v>
      </c>
      <c r="BH21" s="208">
        <f t="shared" si="35"/>
        <v>0.10593220338983052</v>
      </c>
      <c r="BI21" s="208">
        <f t="shared" si="35"/>
        <v>0.50869404365519799</v>
      </c>
      <c r="BJ21" s="208">
        <f t="shared" si="35"/>
        <v>0.68321946342276285</v>
      </c>
      <c r="BK21" s="208">
        <f t="shared" si="35"/>
        <v>0.26255907579205318</v>
      </c>
      <c r="BL21" s="208">
        <f t="shared" si="35"/>
        <v>0.12147195426938194</v>
      </c>
      <c r="BM21" s="208">
        <f t="shared" si="35"/>
        <v>1.2792511700468019</v>
      </c>
      <c r="BN21" s="208">
        <f t="shared" si="35"/>
        <v>0.55672099402936914</v>
      </c>
      <c r="BO21" s="208">
        <f t="shared" si="35"/>
        <v>0.35616438356164382</v>
      </c>
      <c r="BP21" s="208">
        <f t="shared" si="35"/>
        <v>1.0880316518298714</v>
      </c>
      <c r="BQ21" s="208">
        <f t="shared" si="35"/>
        <v>0.64257028112449799</v>
      </c>
      <c r="BR21" s="216">
        <f t="shared" si="35"/>
        <v>0.82934609250398728</v>
      </c>
      <c r="BS21" s="208">
        <f t="shared" si="35"/>
        <v>0.21759825921392631</v>
      </c>
      <c r="BT21" s="208">
        <f t="shared" si="35"/>
        <v>1.8974145120934109</v>
      </c>
      <c r="BU21" s="208">
        <f t="shared" si="35"/>
        <v>1.3947453778786894</v>
      </c>
      <c r="BV21" s="208">
        <f t="shared" si="35"/>
        <v>1.0960841509767523</v>
      </c>
      <c r="BW21" s="208">
        <f t="shared" ref="BW21:CL21" si="36">BW118/BW20%</f>
        <v>0.82667401488013215</v>
      </c>
      <c r="BX21" s="208">
        <f t="shared" si="36"/>
        <v>0.66139996325555761</v>
      </c>
      <c r="BY21" s="208">
        <f t="shared" si="36"/>
        <v>0.50317796610169496</v>
      </c>
      <c r="BZ21" s="208">
        <f t="shared" si="36"/>
        <v>1.0655147588192944</v>
      </c>
      <c r="CA21" s="208">
        <f t="shared" si="36"/>
        <v>0.84974893781382765</v>
      </c>
      <c r="CB21" s="216">
        <f t="shared" si="36"/>
        <v>0.82954241370082948</v>
      </c>
      <c r="CC21" s="208">
        <f t="shared" si="36"/>
        <v>0.63588609344760849</v>
      </c>
      <c r="CD21" s="208">
        <f t="shared" si="36"/>
        <v>0.39022386527007602</v>
      </c>
      <c r="CE21" s="208">
        <f t="shared" si="36"/>
        <v>0.70562293274531418</v>
      </c>
      <c r="CF21" s="208">
        <f t="shared" si="36"/>
        <v>0.17155601303825702</v>
      </c>
      <c r="CG21" s="208">
        <f t="shared" si="36"/>
        <v>1.1930326890956815</v>
      </c>
      <c r="CH21" s="208">
        <f t="shared" si="36"/>
        <v>1.1718750000000002</v>
      </c>
      <c r="CI21" s="208">
        <f t="shared" si="36"/>
        <v>1.0622406639004149</v>
      </c>
      <c r="CJ21" s="208">
        <f t="shared" si="36"/>
        <v>1.2401199236849276</v>
      </c>
      <c r="CK21" s="209">
        <f t="shared" si="36"/>
        <v>1.3988187752564498</v>
      </c>
      <c r="CL21" s="217">
        <f t="shared" si="36"/>
        <v>0.65666195200231015</v>
      </c>
    </row>
    <row r="22" spans="1:90">
      <c r="A22" s="93">
        <f>ROWS($A$3:A20)</f>
        <v>18</v>
      </c>
      <c r="B22" s="67" t="s">
        <v>70</v>
      </c>
      <c r="C22" s="244">
        <v>2010</v>
      </c>
      <c r="D22" s="321"/>
      <c r="E22" s="320"/>
      <c r="F22" s="156"/>
      <c r="G22" s="177"/>
      <c r="H22" s="177"/>
      <c r="I22" s="178"/>
      <c r="J22" s="181"/>
      <c r="K22" s="156"/>
      <c r="L22" s="177"/>
      <c r="M22" s="177"/>
      <c r="N22" s="177"/>
      <c r="O22" s="177"/>
      <c r="P22" s="177"/>
      <c r="Q22" s="177">
        <f>'2011'!AU22</f>
        <v>0</v>
      </c>
      <c r="R22" s="177"/>
      <c r="S22" s="177"/>
      <c r="T22" s="177"/>
      <c r="U22" s="179"/>
      <c r="V22" s="177"/>
      <c r="W22" s="177"/>
      <c r="X22" s="177"/>
      <c r="Y22" s="177"/>
      <c r="Z22" s="177"/>
      <c r="AA22" s="177"/>
      <c r="AB22" s="179"/>
      <c r="AC22" s="177"/>
      <c r="AD22" s="177"/>
      <c r="AE22" s="177"/>
      <c r="AF22" s="177"/>
      <c r="AG22" s="177"/>
      <c r="AH22" s="177"/>
      <c r="AI22" s="177"/>
      <c r="AJ22" s="177"/>
      <c r="AK22" s="179"/>
      <c r="AL22" s="177"/>
      <c r="AM22" s="177"/>
      <c r="AN22" s="177"/>
      <c r="AO22" s="177"/>
      <c r="AP22" s="177"/>
      <c r="AQ22" s="177"/>
      <c r="AR22" s="177"/>
      <c r="AS22" s="178"/>
      <c r="AT22" s="177"/>
      <c r="AU22" s="177"/>
      <c r="AV22" s="177"/>
      <c r="AW22" s="177"/>
      <c r="AX22" s="177"/>
      <c r="AY22" s="177"/>
      <c r="AZ22" s="177"/>
      <c r="BA22" s="177"/>
      <c r="BB22" s="177"/>
      <c r="BC22" s="177"/>
      <c r="BD22" s="177"/>
      <c r="BE22" s="177"/>
      <c r="BF22" s="179"/>
      <c r="BG22" s="177"/>
      <c r="BH22" s="177"/>
      <c r="BI22" s="177"/>
      <c r="BJ22" s="177"/>
      <c r="BK22" s="177"/>
      <c r="BL22" s="177"/>
      <c r="BM22" s="177"/>
      <c r="BN22" s="177"/>
      <c r="BO22" s="177"/>
      <c r="BP22" s="177"/>
      <c r="BQ22" s="177"/>
      <c r="BR22" s="179"/>
      <c r="BS22" s="177"/>
      <c r="BT22" s="177"/>
      <c r="BU22" s="177"/>
      <c r="BV22" s="177"/>
      <c r="BW22" s="177"/>
      <c r="BX22" s="177"/>
      <c r="BY22" s="177"/>
      <c r="BZ22" s="177"/>
      <c r="CA22" s="177"/>
      <c r="CB22" s="179"/>
      <c r="CC22" s="177"/>
      <c r="CD22" s="177"/>
      <c r="CE22" s="177"/>
      <c r="CF22" s="177"/>
      <c r="CG22" s="177"/>
      <c r="CH22" s="177"/>
      <c r="CI22" s="177"/>
      <c r="CJ22" s="177"/>
      <c r="CK22" s="178"/>
      <c r="CL22" s="180"/>
    </row>
    <row r="23" spans="1:90">
      <c r="A23" s="93">
        <f>ROWS($A$3:A21)</f>
        <v>19</v>
      </c>
      <c r="B23" s="59" t="s">
        <v>272</v>
      </c>
      <c r="D23" s="321" t="s">
        <v>14</v>
      </c>
      <c r="E23" s="322">
        <v>40679</v>
      </c>
      <c r="F23" s="156">
        <v>14397</v>
      </c>
      <c r="G23" s="177">
        <v>4930</v>
      </c>
      <c r="H23" s="177">
        <v>13611</v>
      </c>
      <c r="I23" s="178">
        <v>11574</v>
      </c>
      <c r="J23" s="181"/>
      <c r="K23" s="156">
        <f t="shared" ref="K23:K33" si="37">BF23</f>
        <v>1827</v>
      </c>
      <c r="L23" s="177">
        <f t="shared" ref="L23:L33" si="38">AY23</f>
        <v>1288</v>
      </c>
      <c r="M23" s="177">
        <f t="shared" ref="M23:M33" si="39">BD23</f>
        <v>1552</v>
      </c>
      <c r="N23" s="177">
        <f t="shared" ref="N23:N33" si="40">AW23</f>
        <v>782</v>
      </c>
      <c r="O23" s="177">
        <f t="shared" ref="O23:O33" si="41">BE23</f>
        <v>581</v>
      </c>
      <c r="P23" s="177">
        <f>'2011'!AZ23+'2011'!BA23</f>
        <v>2309</v>
      </c>
      <c r="Q23" s="177">
        <f>'2011'!AU23</f>
        <v>604</v>
      </c>
      <c r="R23" s="177">
        <f t="shared" ref="R23:R29" si="42">AT23+AX23</f>
        <v>1535</v>
      </c>
      <c r="S23" s="177">
        <f t="shared" ref="S23:S33" si="43">AV23</f>
        <v>659</v>
      </c>
      <c r="T23" s="177">
        <f t="shared" ref="T23:T33" si="44">BB23</f>
        <v>1229</v>
      </c>
      <c r="U23" s="179">
        <f t="shared" ref="U23:U33" si="45">BC23</f>
        <v>2031</v>
      </c>
      <c r="V23" s="177">
        <f t="shared" ref="V23:V29" si="46">BG23+BJ23</f>
        <v>661</v>
      </c>
      <c r="W23" s="177">
        <f t="shared" ref="W23:W33" si="47">BR23</f>
        <v>517</v>
      </c>
      <c r="X23" s="177">
        <f t="shared" ref="X23:X29" si="48">BH23+BI23</f>
        <v>828</v>
      </c>
      <c r="Y23" s="177">
        <f t="shared" ref="Y23:Y29" si="49">BK23+BL23+BN23</f>
        <v>1125</v>
      </c>
      <c r="Z23" s="177">
        <f t="shared" ref="Z23:Z33" si="50">BM23</f>
        <v>878</v>
      </c>
      <c r="AA23" s="177">
        <f t="shared" ref="AA23:AA29" si="51">BO23+BQ23</f>
        <v>457</v>
      </c>
      <c r="AB23" s="179">
        <f t="shared" ref="AB23:AB33" si="52">BP23</f>
        <v>464</v>
      </c>
      <c r="AC23" s="177">
        <f t="shared" ref="AC23:AC33" si="53">BX23</f>
        <v>1037</v>
      </c>
      <c r="AD23" s="177">
        <f t="shared" ref="AD23:AD33" si="54">BU23</f>
        <v>1422</v>
      </c>
      <c r="AE23" s="177">
        <f t="shared" ref="AE23:AE29" si="55">BS23+BT23</f>
        <v>3099</v>
      </c>
      <c r="AF23" s="177">
        <f t="shared" ref="AF23:AF33" si="56">CA23</f>
        <v>1074</v>
      </c>
      <c r="AG23" s="177">
        <f t="shared" ref="AG23:AG33" si="57">BV23</f>
        <v>3572</v>
      </c>
      <c r="AH23" s="177">
        <f t="shared" ref="AH23:AH33" si="58">BZ23</f>
        <v>900</v>
      </c>
      <c r="AI23" s="177">
        <f t="shared" ref="AI23:AI33" si="59">BW23</f>
        <v>800</v>
      </c>
      <c r="AJ23" s="177">
        <f t="shared" ref="AJ23:AJ33" si="60">BY23</f>
        <v>465</v>
      </c>
      <c r="AK23" s="179">
        <f t="shared" ref="AK23:AK33" si="61">CB23</f>
        <v>1242</v>
      </c>
      <c r="AL23" s="177">
        <f t="shared" ref="AL23:AL33" si="62">CE23</f>
        <v>755</v>
      </c>
      <c r="AM23" s="177">
        <f t="shared" ref="AM23:AM33" si="63">CH23</f>
        <v>1848</v>
      </c>
      <c r="AN23" s="177">
        <f t="shared" ref="AN23:AN33" si="64">CJ23</f>
        <v>2560</v>
      </c>
      <c r="AO23" s="177">
        <f t="shared" ref="AO23:AO33" si="65">CC23</f>
        <v>1058</v>
      </c>
      <c r="AP23" s="177">
        <f t="shared" ref="AP23:AP33" si="66">CD23</f>
        <v>419</v>
      </c>
      <c r="AQ23" s="177">
        <f t="shared" ref="AQ23:AQ33" si="67">CK23</f>
        <v>1248</v>
      </c>
      <c r="AR23" s="177">
        <f t="shared" ref="AR23:AR33" si="68">CI23</f>
        <v>1677</v>
      </c>
      <c r="AS23" s="178">
        <f t="shared" ref="AS23:AS29" si="69">CF23+CG23</f>
        <v>2009</v>
      </c>
      <c r="AT23" s="177">
        <v>198</v>
      </c>
      <c r="AU23" s="177">
        <v>604</v>
      </c>
      <c r="AV23" s="177">
        <v>659</v>
      </c>
      <c r="AW23" s="177">
        <v>782</v>
      </c>
      <c r="AX23" s="177">
        <v>1337</v>
      </c>
      <c r="AY23" s="177">
        <v>1288</v>
      </c>
      <c r="AZ23" s="177">
        <v>183</v>
      </c>
      <c r="BA23" s="177">
        <v>2126</v>
      </c>
      <c r="BB23" s="177">
        <v>1229</v>
      </c>
      <c r="BC23" s="177">
        <v>2031</v>
      </c>
      <c r="BD23" s="177">
        <v>1552</v>
      </c>
      <c r="BE23" s="177">
        <v>581</v>
      </c>
      <c r="BF23" s="179">
        <v>1827</v>
      </c>
      <c r="BG23" s="177">
        <v>114</v>
      </c>
      <c r="BH23" s="177">
        <v>65</v>
      </c>
      <c r="BI23" s="177">
        <v>763</v>
      </c>
      <c r="BJ23" s="177">
        <v>547</v>
      </c>
      <c r="BK23" s="177">
        <v>89</v>
      </c>
      <c r="BL23" s="177">
        <v>69</v>
      </c>
      <c r="BM23" s="177">
        <v>878</v>
      </c>
      <c r="BN23" s="177">
        <v>967</v>
      </c>
      <c r="BO23" s="177">
        <v>24</v>
      </c>
      <c r="BP23" s="177">
        <v>464</v>
      </c>
      <c r="BQ23" s="177">
        <v>433</v>
      </c>
      <c r="BR23" s="179">
        <v>517</v>
      </c>
      <c r="BS23" s="177">
        <v>214</v>
      </c>
      <c r="BT23" s="177">
        <v>2885</v>
      </c>
      <c r="BU23" s="177">
        <v>1422</v>
      </c>
      <c r="BV23" s="177">
        <v>3572</v>
      </c>
      <c r="BW23" s="177">
        <v>800</v>
      </c>
      <c r="BX23" s="177">
        <v>1037</v>
      </c>
      <c r="BY23" s="177">
        <v>465</v>
      </c>
      <c r="BZ23" s="177">
        <v>900</v>
      </c>
      <c r="CA23" s="177">
        <v>1074</v>
      </c>
      <c r="CB23" s="179">
        <v>1242</v>
      </c>
      <c r="CC23" s="177">
        <v>1058</v>
      </c>
      <c r="CD23" s="177">
        <v>419</v>
      </c>
      <c r="CE23" s="177">
        <v>755</v>
      </c>
      <c r="CF23" s="177">
        <v>118</v>
      </c>
      <c r="CG23" s="177">
        <v>1891</v>
      </c>
      <c r="CH23" s="177">
        <v>1848</v>
      </c>
      <c r="CI23" s="177">
        <v>1677</v>
      </c>
      <c r="CJ23" s="177">
        <v>2560</v>
      </c>
      <c r="CK23" s="178">
        <v>1248</v>
      </c>
      <c r="CL23" s="180">
        <v>44512</v>
      </c>
    </row>
    <row r="24" spans="1:90">
      <c r="A24" s="93">
        <f>ROWS($A$3:A22)</f>
        <v>20</v>
      </c>
      <c r="B24" s="59" t="s">
        <v>268</v>
      </c>
      <c r="C24" s="241"/>
      <c r="D24" s="321" t="s">
        <v>14</v>
      </c>
      <c r="E24" s="322">
        <v>40679</v>
      </c>
      <c r="F24" s="156">
        <v>2777</v>
      </c>
      <c r="G24" s="177">
        <v>850</v>
      </c>
      <c r="H24" s="177">
        <v>3557</v>
      </c>
      <c r="I24" s="178">
        <v>913</v>
      </c>
      <c r="J24" s="181"/>
      <c r="K24" s="156">
        <f t="shared" si="37"/>
        <v>84</v>
      </c>
      <c r="L24" s="177">
        <f t="shared" si="38"/>
        <v>428</v>
      </c>
      <c r="M24" s="177">
        <f t="shared" si="39"/>
        <v>173</v>
      </c>
      <c r="N24" s="177">
        <f t="shared" si="40"/>
        <v>84</v>
      </c>
      <c r="O24" s="177">
        <f t="shared" si="41"/>
        <v>22</v>
      </c>
      <c r="P24" s="177">
        <f>'2011'!AZ24+'2011'!BA24</f>
        <v>881</v>
      </c>
      <c r="Q24" s="177">
        <f>'2011'!AU24</f>
        <v>52</v>
      </c>
      <c r="R24" s="177">
        <f t="shared" si="42"/>
        <v>598</v>
      </c>
      <c r="S24" s="177">
        <f t="shared" si="43"/>
        <v>131</v>
      </c>
      <c r="T24" s="177">
        <f t="shared" si="44"/>
        <v>261</v>
      </c>
      <c r="U24" s="179">
        <f t="shared" si="45"/>
        <v>63</v>
      </c>
      <c r="V24" s="177">
        <f t="shared" si="46"/>
        <v>304</v>
      </c>
      <c r="W24" s="177">
        <f t="shared" si="47"/>
        <v>24</v>
      </c>
      <c r="X24" s="177">
        <f t="shared" si="48"/>
        <v>160</v>
      </c>
      <c r="Y24" s="177">
        <f t="shared" si="49"/>
        <v>225</v>
      </c>
      <c r="Z24" s="177">
        <f t="shared" si="50"/>
        <v>34</v>
      </c>
      <c r="AA24" s="177">
        <f t="shared" si="51"/>
        <v>78</v>
      </c>
      <c r="AB24" s="179">
        <f t="shared" si="52"/>
        <v>25</v>
      </c>
      <c r="AC24" s="177">
        <f t="shared" si="53"/>
        <v>16</v>
      </c>
      <c r="AD24" s="177">
        <f t="shared" si="54"/>
        <v>514</v>
      </c>
      <c r="AE24" s="177">
        <f t="shared" si="55"/>
        <v>1264</v>
      </c>
      <c r="AF24" s="177">
        <f t="shared" si="56"/>
        <v>215</v>
      </c>
      <c r="AG24" s="177">
        <f t="shared" si="57"/>
        <v>1291</v>
      </c>
      <c r="AH24" s="177">
        <f t="shared" si="58"/>
        <v>174</v>
      </c>
      <c r="AI24" s="177">
        <f t="shared" si="59"/>
        <v>21</v>
      </c>
      <c r="AJ24" s="177">
        <f t="shared" si="60"/>
        <v>11</v>
      </c>
      <c r="AK24" s="179">
        <f t="shared" si="61"/>
        <v>51</v>
      </c>
      <c r="AL24" s="177">
        <f t="shared" si="62"/>
        <v>23</v>
      </c>
      <c r="AM24" s="177">
        <f t="shared" si="63"/>
        <v>56</v>
      </c>
      <c r="AN24" s="177">
        <f t="shared" si="64"/>
        <v>152</v>
      </c>
      <c r="AO24" s="177">
        <f t="shared" si="65"/>
        <v>53</v>
      </c>
      <c r="AP24" s="177">
        <f t="shared" si="66"/>
        <v>41</v>
      </c>
      <c r="AQ24" s="177">
        <f t="shared" si="67"/>
        <v>40</v>
      </c>
      <c r="AR24" s="177">
        <f t="shared" si="68"/>
        <v>467</v>
      </c>
      <c r="AS24" s="178">
        <f t="shared" si="69"/>
        <v>81</v>
      </c>
      <c r="AT24" s="177">
        <v>104</v>
      </c>
      <c r="AU24" s="177">
        <v>52</v>
      </c>
      <c r="AV24" s="177">
        <v>131</v>
      </c>
      <c r="AW24" s="177">
        <v>84</v>
      </c>
      <c r="AX24" s="177">
        <v>494</v>
      </c>
      <c r="AY24" s="177">
        <v>428</v>
      </c>
      <c r="AZ24" s="177">
        <v>50</v>
      </c>
      <c r="BA24" s="177">
        <v>831</v>
      </c>
      <c r="BB24" s="177">
        <v>261</v>
      </c>
      <c r="BC24" s="177">
        <v>63</v>
      </c>
      <c r="BD24" s="177">
        <v>173</v>
      </c>
      <c r="BE24" s="177">
        <v>22</v>
      </c>
      <c r="BF24" s="179">
        <v>84</v>
      </c>
      <c r="BG24" s="177">
        <v>75</v>
      </c>
      <c r="BH24" s="177">
        <v>15</v>
      </c>
      <c r="BI24" s="177">
        <v>145</v>
      </c>
      <c r="BJ24" s="177">
        <v>229</v>
      </c>
      <c r="BK24" s="177">
        <v>28</v>
      </c>
      <c r="BL24" s="177">
        <v>12</v>
      </c>
      <c r="BM24" s="177">
        <v>34</v>
      </c>
      <c r="BN24" s="177">
        <v>185</v>
      </c>
      <c r="BO24" s="177">
        <v>7</v>
      </c>
      <c r="BP24" s="177">
        <v>25</v>
      </c>
      <c r="BQ24" s="177">
        <v>71</v>
      </c>
      <c r="BR24" s="179">
        <v>24</v>
      </c>
      <c r="BS24" s="177">
        <v>111</v>
      </c>
      <c r="BT24" s="177">
        <v>1153</v>
      </c>
      <c r="BU24" s="177">
        <v>514</v>
      </c>
      <c r="BV24" s="177">
        <v>1291</v>
      </c>
      <c r="BW24" s="177">
        <v>21</v>
      </c>
      <c r="BX24" s="177">
        <v>16</v>
      </c>
      <c r="BY24" s="177">
        <v>11</v>
      </c>
      <c r="BZ24" s="177">
        <v>174</v>
      </c>
      <c r="CA24" s="177">
        <v>215</v>
      </c>
      <c r="CB24" s="179">
        <v>51</v>
      </c>
      <c r="CC24" s="177">
        <v>53</v>
      </c>
      <c r="CD24" s="177">
        <v>41</v>
      </c>
      <c r="CE24" s="177">
        <v>23</v>
      </c>
      <c r="CF24" s="177">
        <v>16</v>
      </c>
      <c r="CG24" s="177">
        <v>65</v>
      </c>
      <c r="CH24" s="177">
        <v>56</v>
      </c>
      <c r="CI24" s="177">
        <v>467</v>
      </c>
      <c r="CJ24" s="177">
        <v>152</v>
      </c>
      <c r="CK24" s="178">
        <v>40</v>
      </c>
      <c r="CL24" s="180">
        <v>8097</v>
      </c>
    </row>
    <row r="25" spans="1:90">
      <c r="A25" s="93">
        <f>ROWS($A$3:A23)</f>
        <v>21</v>
      </c>
      <c r="B25" s="59" t="s">
        <v>269</v>
      </c>
      <c r="C25" s="241"/>
      <c r="D25" s="321" t="s">
        <v>14</v>
      </c>
      <c r="E25" s="322">
        <v>40679</v>
      </c>
      <c r="F25" s="156">
        <v>2154</v>
      </c>
      <c r="G25" s="177">
        <v>818</v>
      </c>
      <c r="H25" s="177">
        <v>2929</v>
      </c>
      <c r="I25" s="178">
        <v>1792</v>
      </c>
      <c r="J25" s="181"/>
      <c r="K25" s="156">
        <f t="shared" si="37"/>
        <v>347</v>
      </c>
      <c r="L25" s="177">
        <f t="shared" si="38"/>
        <v>246</v>
      </c>
      <c r="M25" s="177">
        <f t="shared" si="39"/>
        <v>183</v>
      </c>
      <c r="N25" s="177">
        <f t="shared" si="40"/>
        <v>115</v>
      </c>
      <c r="O25" s="177">
        <f t="shared" si="41"/>
        <v>78</v>
      </c>
      <c r="P25" s="177">
        <f>'2011'!AZ25+'2011'!BA25</f>
        <v>334</v>
      </c>
      <c r="Q25" s="177">
        <f>'2011'!AU25</f>
        <v>101</v>
      </c>
      <c r="R25" s="177">
        <f t="shared" si="42"/>
        <v>157</v>
      </c>
      <c r="S25" s="177">
        <f t="shared" si="43"/>
        <v>117</v>
      </c>
      <c r="T25" s="177">
        <f t="shared" si="44"/>
        <v>176</v>
      </c>
      <c r="U25" s="179">
        <f t="shared" si="45"/>
        <v>300</v>
      </c>
      <c r="V25" s="177">
        <f t="shared" si="46"/>
        <v>105</v>
      </c>
      <c r="W25" s="177">
        <f t="shared" si="47"/>
        <v>135</v>
      </c>
      <c r="X25" s="177">
        <f t="shared" si="48"/>
        <v>121</v>
      </c>
      <c r="Y25" s="177">
        <f t="shared" si="49"/>
        <v>133</v>
      </c>
      <c r="Z25" s="177">
        <f t="shared" si="50"/>
        <v>128</v>
      </c>
      <c r="AA25" s="177">
        <f t="shared" si="51"/>
        <v>64</v>
      </c>
      <c r="AB25" s="179">
        <f t="shared" si="52"/>
        <v>132</v>
      </c>
      <c r="AC25" s="177">
        <f t="shared" si="53"/>
        <v>215</v>
      </c>
      <c r="AD25" s="177">
        <f t="shared" si="54"/>
        <v>289</v>
      </c>
      <c r="AE25" s="177">
        <f t="shared" si="55"/>
        <v>516</v>
      </c>
      <c r="AF25" s="177">
        <f t="shared" si="56"/>
        <v>229</v>
      </c>
      <c r="AG25" s="177">
        <f t="shared" si="57"/>
        <v>928</v>
      </c>
      <c r="AH25" s="177">
        <f t="shared" si="58"/>
        <v>120</v>
      </c>
      <c r="AI25" s="177">
        <f t="shared" si="59"/>
        <v>198</v>
      </c>
      <c r="AJ25" s="177">
        <f t="shared" si="60"/>
        <v>86</v>
      </c>
      <c r="AK25" s="179">
        <f t="shared" si="61"/>
        <v>348</v>
      </c>
      <c r="AL25" s="177">
        <f t="shared" si="62"/>
        <v>173</v>
      </c>
      <c r="AM25" s="177">
        <f t="shared" si="63"/>
        <v>239</v>
      </c>
      <c r="AN25" s="177">
        <f t="shared" si="64"/>
        <v>311</v>
      </c>
      <c r="AO25" s="177">
        <f t="shared" si="65"/>
        <v>211</v>
      </c>
      <c r="AP25" s="177">
        <f t="shared" si="66"/>
        <v>71</v>
      </c>
      <c r="AQ25" s="177">
        <f t="shared" si="67"/>
        <v>218</v>
      </c>
      <c r="AR25" s="177">
        <f t="shared" si="68"/>
        <v>318</v>
      </c>
      <c r="AS25" s="178">
        <f t="shared" si="69"/>
        <v>251</v>
      </c>
      <c r="AT25" s="177">
        <v>31</v>
      </c>
      <c r="AU25" s="177">
        <v>101</v>
      </c>
      <c r="AV25" s="177">
        <v>117</v>
      </c>
      <c r="AW25" s="177">
        <v>115</v>
      </c>
      <c r="AX25" s="177">
        <v>126</v>
      </c>
      <c r="AY25" s="177">
        <v>246</v>
      </c>
      <c r="AZ25" s="177">
        <v>42</v>
      </c>
      <c r="BA25" s="177">
        <v>292</v>
      </c>
      <c r="BB25" s="177">
        <v>176</v>
      </c>
      <c r="BC25" s="177">
        <v>300</v>
      </c>
      <c r="BD25" s="177">
        <v>183</v>
      </c>
      <c r="BE25" s="177">
        <v>78</v>
      </c>
      <c r="BF25" s="179">
        <v>347</v>
      </c>
      <c r="BG25" s="177">
        <v>17</v>
      </c>
      <c r="BH25" s="177">
        <v>9</v>
      </c>
      <c r="BI25" s="177">
        <v>112</v>
      </c>
      <c r="BJ25" s="177">
        <v>88</v>
      </c>
      <c r="BK25" s="177">
        <v>14</v>
      </c>
      <c r="BL25" s="177">
        <v>6</v>
      </c>
      <c r="BM25" s="177">
        <v>128</v>
      </c>
      <c r="BN25" s="177">
        <v>113</v>
      </c>
      <c r="BO25" s="177">
        <v>2</v>
      </c>
      <c r="BP25" s="177">
        <v>132</v>
      </c>
      <c r="BQ25" s="177">
        <v>62</v>
      </c>
      <c r="BR25" s="179">
        <v>135</v>
      </c>
      <c r="BS25" s="177">
        <v>33</v>
      </c>
      <c r="BT25" s="177">
        <v>483</v>
      </c>
      <c r="BU25" s="177">
        <v>289</v>
      </c>
      <c r="BV25" s="177">
        <v>928</v>
      </c>
      <c r="BW25" s="177">
        <v>198</v>
      </c>
      <c r="BX25" s="177">
        <v>215</v>
      </c>
      <c r="BY25" s="177">
        <v>86</v>
      </c>
      <c r="BZ25" s="177">
        <v>120</v>
      </c>
      <c r="CA25" s="177">
        <v>229</v>
      </c>
      <c r="CB25" s="179">
        <v>348</v>
      </c>
      <c r="CC25" s="177">
        <v>211</v>
      </c>
      <c r="CD25" s="177">
        <v>71</v>
      </c>
      <c r="CE25" s="177">
        <v>173</v>
      </c>
      <c r="CF25" s="177">
        <v>8</v>
      </c>
      <c r="CG25" s="177">
        <v>243</v>
      </c>
      <c r="CH25" s="177">
        <v>239</v>
      </c>
      <c r="CI25" s="177">
        <v>318</v>
      </c>
      <c r="CJ25" s="177">
        <v>311</v>
      </c>
      <c r="CK25" s="178">
        <v>218</v>
      </c>
      <c r="CL25" s="180">
        <v>7693</v>
      </c>
    </row>
    <row r="26" spans="1:90">
      <c r="A26" s="93">
        <f>ROWS($A$3:A24)</f>
        <v>22</v>
      </c>
      <c r="B26" s="59" t="s">
        <v>270</v>
      </c>
      <c r="C26" s="241"/>
      <c r="D26" s="321" t="s">
        <v>14</v>
      </c>
      <c r="E26" s="322">
        <v>40679</v>
      </c>
      <c r="F26" s="156">
        <v>2758</v>
      </c>
      <c r="G26" s="177">
        <v>898</v>
      </c>
      <c r="H26" s="177">
        <v>2870</v>
      </c>
      <c r="I26" s="178">
        <v>2733</v>
      </c>
      <c r="J26" s="181"/>
      <c r="K26" s="156">
        <f t="shared" si="37"/>
        <v>495</v>
      </c>
      <c r="L26" s="177">
        <f t="shared" si="38"/>
        <v>245</v>
      </c>
      <c r="M26" s="177">
        <f t="shared" si="39"/>
        <v>303</v>
      </c>
      <c r="N26" s="177">
        <f t="shared" si="40"/>
        <v>160</v>
      </c>
      <c r="O26" s="177">
        <f t="shared" si="41"/>
        <v>123</v>
      </c>
      <c r="P26" s="177">
        <f>'2011'!AZ26+'2011'!BA26</f>
        <v>309</v>
      </c>
      <c r="Q26" s="177">
        <f>'2011'!AU26</f>
        <v>140</v>
      </c>
      <c r="R26" s="177">
        <f t="shared" si="42"/>
        <v>197</v>
      </c>
      <c r="S26" s="177">
        <f t="shared" si="43"/>
        <v>123</v>
      </c>
      <c r="T26" s="177">
        <f t="shared" si="44"/>
        <v>213</v>
      </c>
      <c r="U26" s="179">
        <f t="shared" si="45"/>
        <v>450</v>
      </c>
      <c r="V26" s="177">
        <f t="shared" si="46"/>
        <v>104</v>
      </c>
      <c r="W26" s="177">
        <f t="shared" si="47"/>
        <v>114</v>
      </c>
      <c r="X26" s="177">
        <f t="shared" si="48"/>
        <v>122</v>
      </c>
      <c r="Y26" s="177">
        <f t="shared" si="49"/>
        <v>175</v>
      </c>
      <c r="Z26" s="177">
        <f t="shared" si="50"/>
        <v>191</v>
      </c>
      <c r="AA26" s="177">
        <f t="shared" si="51"/>
        <v>85</v>
      </c>
      <c r="AB26" s="179">
        <f t="shared" si="52"/>
        <v>107</v>
      </c>
      <c r="AC26" s="177">
        <f t="shared" si="53"/>
        <v>228</v>
      </c>
      <c r="AD26" s="177">
        <f t="shared" si="54"/>
        <v>318</v>
      </c>
      <c r="AE26" s="177">
        <f t="shared" si="55"/>
        <v>534</v>
      </c>
      <c r="AF26" s="177">
        <f t="shared" si="56"/>
        <v>259</v>
      </c>
      <c r="AG26" s="177">
        <f t="shared" si="57"/>
        <v>707</v>
      </c>
      <c r="AH26" s="177">
        <f t="shared" si="58"/>
        <v>177</v>
      </c>
      <c r="AI26" s="177">
        <f t="shared" si="59"/>
        <v>207</v>
      </c>
      <c r="AJ26" s="177">
        <f t="shared" si="60"/>
        <v>113</v>
      </c>
      <c r="AK26" s="179">
        <f t="shared" si="61"/>
        <v>327</v>
      </c>
      <c r="AL26" s="177">
        <f t="shared" si="62"/>
        <v>183</v>
      </c>
      <c r="AM26" s="177">
        <f t="shared" si="63"/>
        <v>386</v>
      </c>
      <c r="AN26" s="177">
        <f t="shared" si="64"/>
        <v>617</v>
      </c>
      <c r="AO26" s="177">
        <f t="shared" si="65"/>
        <v>272</v>
      </c>
      <c r="AP26" s="177">
        <f t="shared" si="66"/>
        <v>91</v>
      </c>
      <c r="AQ26" s="177">
        <f t="shared" si="67"/>
        <v>306</v>
      </c>
      <c r="AR26" s="177">
        <f t="shared" si="68"/>
        <v>387</v>
      </c>
      <c r="AS26" s="178">
        <f t="shared" si="69"/>
        <v>491</v>
      </c>
      <c r="AT26" s="177">
        <v>29</v>
      </c>
      <c r="AU26" s="177">
        <v>140</v>
      </c>
      <c r="AV26" s="177">
        <v>123</v>
      </c>
      <c r="AW26" s="177">
        <v>160</v>
      </c>
      <c r="AX26" s="177">
        <v>168</v>
      </c>
      <c r="AY26" s="177">
        <v>245</v>
      </c>
      <c r="AZ26" s="177">
        <v>26</v>
      </c>
      <c r="BA26" s="177">
        <v>283</v>
      </c>
      <c r="BB26" s="177">
        <v>213</v>
      </c>
      <c r="BC26" s="177">
        <v>450</v>
      </c>
      <c r="BD26" s="177">
        <v>303</v>
      </c>
      <c r="BE26" s="177">
        <v>123</v>
      </c>
      <c r="BF26" s="179">
        <v>495</v>
      </c>
      <c r="BG26" s="177">
        <v>10</v>
      </c>
      <c r="BH26" s="177">
        <v>11</v>
      </c>
      <c r="BI26" s="177">
        <v>111</v>
      </c>
      <c r="BJ26" s="177">
        <v>94</v>
      </c>
      <c r="BK26" s="177">
        <v>14</v>
      </c>
      <c r="BL26" s="177">
        <v>7</v>
      </c>
      <c r="BM26" s="177">
        <v>191</v>
      </c>
      <c r="BN26" s="177">
        <v>154</v>
      </c>
      <c r="BO26" s="177">
        <v>3</v>
      </c>
      <c r="BP26" s="177">
        <v>107</v>
      </c>
      <c r="BQ26" s="177">
        <v>82</v>
      </c>
      <c r="BR26" s="179">
        <v>114</v>
      </c>
      <c r="BS26" s="177">
        <v>25</v>
      </c>
      <c r="BT26" s="177">
        <v>509</v>
      </c>
      <c r="BU26" s="177">
        <v>318</v>
      </c>
      <c r="BV26" s="177">
        <v>707</v>
      </c>
      <c r="BW26" s="177">
        <v>207</v>
      </c>
      <c r="BX26" s="177">
        <v>228</v>
      </c>
      <c r="BY26" s="177">
        <v>113</v>
      </c>
      <c r="BZ26" s="177">
        <v>177</v>
      </c>
      <c r="CA26" s="177">
        <v>259</v>
      </c>
      <c r="CB26" s="179">
        <v>327</v>
      </c>
      <c r="CC26" s="177">
        <v>272</v>
      </c>
      <c r="CD26" s="177">
        <v>91</v>
      </c>
      <c r="CE26" s="177">
        <v>183</v>
      </c>
      <c r="CF26" s="177">
        <v>23</v>
      </c>
      <c r="CG26" s="177">
        <v>468</v>
      </c>
      <c r="CH26" s="177">
        <v>386</v>
      </c>
      <c r="CI26" s="177">
        <v>387</v>
      </c>
      <c r="CJ26" s="177">
        <v>617</v>
      </c>
      <c r="CK26" s="178">
        <v>306</v>
      </c>
      <c r="CL26" s="180">
        <v>9259</v>
      </c>
    </row>
    <row r="27" spans="1:90">
      <c r="A27" s="93">
        <f>ROWS($A$3:A25)</f>
        <v>23</v>
      </c>
      <c r="B27" s="59" t="s">
        <v>271</v>
      </c>
      <c r="C27" s="241"/>
      <c r="D27" s="321" t="s">
        <v>14</v>
      </c>
      <c r="E27" s="322">
        <v>40679</v>
      </c>
      <c r="F27" s="156">
        <v>3588</v>
      </c>
      <c r="G27" s="177">
        <v>1000</v>
      </c>
      <c r="H27" s="177">
        <v>2416</v>
      </c>
      <c r="I27" s="178">
        <v>3349</v>
      </c>
      <c r="J27" s="181"/>
      <c r="K27" s="156">
        <f t="shared" si="37"/>
        <v>462</v>
      </c>
      <c r="L27" s="177">
        <f t="shared" si="38"/>
        <v>235</v>
      </c>
      <c r="M27" s="177">
        <f t="shared" si="39"/>
        <v>465</v>
      </c>
      <c r="N27" s="177">
        <f t="shared" si="40"/>
        <v>216</v>
      </c>
      <c r="O27" s="177">
        <f t="shared" si="41"/>
        <v>159</v>
      </c>
      <c r="P27" s="177">
        <f>'2011'!AZ27+'2011'!BA27</f>
        <v>418</v>
      </c>
      <c r="Q27" s="177">
        <f>'2011'!AU27</f>
        <v>153</v>
      </c>
      <c r="R27" s="177">
        <f t="shared" si="42"/>
        <v>371</v>
      </c>
      <c r="S27" s="177">
        <f t="shared" si="43"/>
        <v>155</v>
      </c>
      <c r="T27" s="177">
        <f t="shared" si="44"/>
        <v>298</v>
      </c>
      <c r="U27" s="179">
        <f t="shared" si="45"/>
        <v>656</v>
      </c>
      <c r="V27" s="177">
        <f t="shared" si="46"/>
        <v>58</v>
      </c>
      <c r="W27" s="177">
        <f t="shared" si="47"/>
        <v>129</v>
      </c>
      <c r="X27" s="177">
        <f t="shared" si="48"/>
        <v>147</v>
      </c>
      <c r="Y27" s="177">
        <f t="shared" si="49"/>
        <v>286</v>
      </c>
      <c r="Z27" s="177">
        <f t="shared" si="50"/>
        <v>210</v>
      </c>
      <c r="AA27" s="177">
        <f t="shared" si="51"/>
        <v>84</v>
      </c>
      <c r="AB27" s="179">
        <f t="shared" si="52"/>
        <v>86</v>
      </c>
      <c r="AC27" s="177">
        <f t="shared" si="53"/>
        <v>326</v>
      </c>
      <c r="AD27" s="177">
        <f t="shared" si="54"/>
        <v>210</v>
      </c>
      <c r="AE27" s="177">
        <f t="shared" si="55"/>
        <v>543</v>
      </c>
      <c r="AF27" s="177">
        <f t="shared" si="56"/>
        <v>255</v>
      </c>
      <c r="AG27" s="177">
        <f t="shared" si="57"/>
        <v>382</v>
      </c>
      <c r="AH27" s="177">
        <f t="shared" si="58"/>
        <v>190</v>
      </c>
      <c r="AI27" s="177">
        <f t="shared" si="59"/>
        <v>156</v>
      </c>
      <c r="AJ27" s="177">
        <f t="shared" si="60"/>
        <v>88</v>
      </c>
      <c r="AK27" s="179">
        <f t="shared" si="61"/>
        <v>266</v>
      </c>
      <c r="AL27" s="177">
        <f t="shared" si="62"/>
        <v>171</v>
      </c>
      <c r="AM27" s="177">
        <f t="shared" si="63"/>
        <v>605</v>
      </c>
      <c r="AN27" s="177">
        <f t="shared" si="64"/>
        <v>934</v>
      </c>
      <c r="AO27" s="177">
        <f t="shared" si="65"/>
        <v>256</v>
      </c>
      <c r="AP27" s="177">
        <f t="shared" si="66"/>
        <v>104</v>
      </c>
      <c r="AQ27" s="177">
        <f t="shared" si="67"/>
        <v>322</v>
      </c>
      <c r="AR27" s="177">
        <f t="shared" si="68"/>
        <v>351</v>
      </c>
      <c r="AS27" s="178">
        <f t="shared" si="69"/>
        <v>606</v>
      </c>
      <c r="AT27" s="177">
        <v>22</v>
      </c>
      <c r="AU27" s="177">
        <v>153</v>
      </c>
      <c r="AV27" s="177">
        <v>155</v>
      </c>
      <c r="AW27" s="177">
        <v>216</v>
      </c>
      <c r="AX27" s="177">
        <v>349</v>
      </c>
      <c r="AY27" s="177">
        <v>235</v>
      </c>
      <c r="AZ27" s="177">
        <v>45</v>
      </c>
      <c r="BA27" s="177">
        <v>373</v>
      </c>
      <c r="BB27" s="177">
        <v>298</v>
      </c>
      <c r="BC27" s="177">
        <v>656</v>
      </c>
      <c r="BD27" s="177">
        <v>465</v>
      </c>
      <c r="BE27" s="177">
        <v>159</v>
      </c>
      <c r="BF27" s="179">
        <v>462</v>
      </c>
      <c r="BG27" s="177">
        <v>4</v>
      </c>
      <c r="BH27" s="177">
        <v>20</v>
      </c>
      <c r="BI27" s="177">
        <v>127</v>
      </c>
      <c r="BJ27" s="177">
        <v>54</v>
      </c>
      <c r="BK27" s="177">
        <v>24</v>
      </c>
      <c r="BL27" s="177">
        <v>22</v>
      </c>
      <c r="BM27" s="177">
        <v>210</v>
      </c>
      <c r="BN27" s="177">
        <v>240</v>
      </c>
      <c r="BO27" s="177">
        <v>4</v>
      </c>
      <c r="BP27" s="177">
        <v>86</v>
      </c>
      <c r="BQ27" s="177">
        <v>80</v>
      </c>
      <c r="BR27" s="179">
        <v>129</v>
      </c>
      <c r="BS27" s="177">
        <v>30</v>
      </c>
      <c r="BT27" s="177">
        <v>513</v>
      </c>
      <c r="BU27" s="177">
        <v>210</v>
      </c>
      <c r="BV27" s="177">
        <v>382</v>
      </c>
      <c r="BW27" s="177">
        <v>156</v>
      </c>
      <c r="BX27" s="177">
        <v>326</v>
      </c>
      <c r="BY27" s="177">
        <v>88</v>
      </c>
      <c r="BZ27" s="177">
        <v>190</v>
      </c>
      <c r="CA27" s="177">
        <v>255</v>
      </c>
      <c r="CB27" s="179">
        <v>266</v>
      </c>
      <c r="CC27" s="177">
        <v>256</v>
      </c>
      <c r="CD27" s="177">
        <v>104</v>
      </c>
      <c r="CE27" s="177">
        <v>171</v>
      </c>
      <c r="CF27" s="177">
        <v>32</v>
      </c>
      <c r="CG27" s="177">
        <v>574</v>
      </c>
      <c r="CH27" s="177">
        <v>605</v>
      </c>
      <c r="CI27" s="177">
        <v>351</v>
      </c>
      <c r="CJ27" s="177">
        <v>934</v>
      </c>
      <c r="CK27" s="178">
        <v>322</v>
      </c>
      <c r="CL27" s="180">
        <v>10353</v>
      </c>
    </row>
    <row r="28" spans="1:90">
      <c r="A28" s="93">
        <f>ROWS($A$3:A26)</f>
        <v>24</v>
      </c>
      <c r="B28" s="59" t="s">
        <v>5</v>
      </c>
      <c r="C28" s="241"/>
      <c r="D28" s="321" t="s">
        <v>14</v>
      </c>
      <c r="E28" s="322">
        <v>40679</v>
      </c>
      <c r="F28" s="156">
        <v>2265</v>
      </c>
      <c r="G28" s="177">
        <v>809</v>
      </c>
      <c r="H28" s="177">
        <v>1258</v>
      </c>
      <c r="I28" s="178">
        <v>1995</v>
      </c>
      <c r="J28" s="181"/>
      <c r="K28" s="156">
        <f t="shared" si="37"/>
        <v>306</v>
      </c>
      <c r="L28" s="177">
        <f t="shared" si="38"/>
        <v>100</v>
      </c>
      <c r="M28" s="177">
        <f>BD28</f>
        <v>255</v>
      </c>
      <c r="N28" s="177">
        <f>AW28</f>
        <v>161</v>
      </c>
      <c r="O28" s="177">
        <f>BE28</f>
        <v>144</v>
      </c>
      <c r="P28" s="177">
        <f>'2011'!AZ28+'2011'!BA28</f>
        <v>252</v>
      </c>
      <c r="Q28" s="177">
        <f>'2011'!AU28</f>
        <v>110</v>
      </c>
      <c r="R28" s="177">
        <f>AT28+AX28</f>
        <v>179</v>
      </c>
      <c r="S28" s="177">
        <f>AV28</f>
        <v>103</v>
      </c>
      <c r="T28" s="177">
        <f>BB28</f>
        <v>198</v>
      </c>
      <c r="U28" s="179">
        <f>BC28</f>
        <v>457</v>
      </c>
      <c r="V28" s="177">
        <f>BG28+BJ28</f>
        <v>45</v>
      </c>
      <c r="W28" s="177">
        <f>BR28</f>
        <v>72</v>
      </c>
      <c r="X28" s="177">
        <f>BH28+BI28</f>
        <v>137</v>
      </c>
      <c r="Y28" s="177">
        <f>BK28+BL28+BN28</f>
        <v>218</v>
      </c>
      <c r="Z28" s="177">
        <f>BM28</f>
        <v>176</v>
      </c>
      <c r="AA28" s="177">
        <f>BO28+BQ28</f>
        <v>88</v>
      </c>
      <c r="AB28" s="179">
        <f>BP28</f>
        <v>73</v>
      </c>
      <c r="AC28" s="177">
        <f>BX28</f>
        <v>177</v>
      </c>
      <c r="AD28" s="177">
        <f>BU28</f>
        <v>65</v>
      </c>
      <c r="AE28" s="177">
        <f>BS28+BT28</f>
        <v>191</v>
      </c>
      <c r="AF28" s="177">
        <f>CA28</f>
        <v>97</v>
      </c>
      <c r="AG28" s="177">
        <f>BV28</f>
        <v>181</v>
      </c>
      <c r="AH28" s="177">
        <f>BZ28</f>
        <v>153</v>
      </c>
      <c r="AI28" s="177">
        <f>BW28</f>
        <v>140</v>
      </c>
      <c r="AJ28" s="177">
        <f>BY28</f>
        <v>80</v>
      </c>
      <c r="AK28" s="179">
        <f>CB28</f>
        <v>174</v>
      </c>
      <c r="AL28" s="177">
        <f>CE28</f>
        <v>100</v>
      </c>
      <c r="AM28" s="177">
        <f>CH28</f>
        <v>425</v>
      </c>
      <c r="AN28" s="177">
        <f>CJ28</f>
        <v>483</v>
      </c>
      <c r="AO28" s="177">
        <f>CC28</f>
        <v>163</v>
      </c>
      <c r="AP28" s="177">
        <f>CD28</f>
        <v>50</v>
      </c>
      <c r="AQ28" s="177">
        <f>CK28</f>
        <v>210</v>
      </c>
      <c r="AR28" s="177">
        <f>CI28</f>
        <v>125</v>
      </c>
      <c r="AS28" s="178">
        <f t="shared" si="69"/>
        <v>439</v>
      </c>
      <c r="AT28" s="177">
        <v>10</v>
      </c>
      <c r="AU28" s="177">
        <v>110</v>
      </c>
      <c r="AV28" s="177">
        <v>103</v>
      </c>
      <c r="AW28" s="177">
        <v>161</v>
      </c>
      <c r="AX28" s="177">
        <v>169</v>
      </c>
      <c r="AY28" s="177">
        <v>100</v>
      </c>
      <c r="AZ28" s="177">
        <v>14</v>
      </c>
      <c r="BA28" s="177">
        <v>238</v>
      </c>
      <c r="BB28" s="177">
        <v>198</v>
      </c>
      <c r="BC28" s="177">
        <v>457</v>
      </c>
      <c r="BD28" s="177">
        <v>255</v>
      </c>
      <c r="BE28" s="177">
        <v>144</v>
      </c>
      <c r="BF28" s="179">
        <v>306</v>
      </c>
      <c r="BG28" s="177">
        <v>4</v>
      </c>
      <c r="BH28" s="177">
        <v>4</v>
      </c>
      <c r="BI28" s="177">
        <v>133</v>
      </c>
      <c r="BJ28" s="177">
        <v>41</v>
      </c>
      <c r="BK28" s="177">
        <v>7</v>
      </c>
      <c r="BL28" s="177">
        <v>18</v>
      </c>
      <c r="BM28" s="177">
        <v>176</v>
      </c>
      <c r="BN28" s="177">
        <v>193</v>
      </c>
      <c r="BO28" s="177">
        <v>4</v>
      </c>
      <c r="BP28" s="177">
        <v>73</v>
      </c>
      <c r="BQ28" s="177">
        <v>84</v>
      </c>
      <c r="BR28" s="179">
        <v>72</v>
      </c>
      <c r="BS28" s="177">
        <v>11</v>
      </c>
      <c r="BT28" s="177">
        <v>180</v>
      </c>
      <c r="BU28" s="177">
        <v>65</v>
      </c>
      <c r="BV28" s="177">
        <v>181</v>
      </c>
      <c r="BW28" s="177">
        <v>140</v>
      </c>
      <c r="BX28" s="177">
        <v>177</v>
      </c>
      <c r="BY28" s="177">
        <v>80</v>
      </c>
      <c r="BZ28" s="177">
        <v>153</v>
      </c>
      <c r="CA28" s="177">
        <v>97</v>
      </c>
      <c r="CB28" s="179">
        <v>174</v>
      </c>
      <c r="CC28" s="177">
        <v>163</v>
      </c>
      <c r="CD28" s="177">
        <v>50</v>
      </c>
      <c r="CE28" s="177">
        <v>100</v>
      </c>
      <c r="CF28" s="177">
        <v>32</v>
      </c>
      <c r="CG28" s="177">
        <v>407</v>
      </c>
      <c r="CH28" s="177">
        <v>425</v>
      </c>
      <c r="CI28" s="177">
        <v>125</v>
      </c>
      <c r="CJ28" s="177">
        <v>483</v>
      </c>
      <c r="CK28" s="178">
        <v>210</v>
      </c>
      <c r="CL28" s="180">
        <v>6327</v>
      </c>
    </row>
    <row r="29" spans="1:90">
      <c r="A29" s="93">
        <f>ROWS($A$3:A27)</f>
        <v>25</v>
      </c>
      <c r="B29" s="59" t="s">
        <v>6</v>
      </c>
      <c r="C29" s="241"/>
      <c r="D29" s="321" t="s">
        <v>14</v>
      </c>
      <c r="E29" s="322">
        <v>40679</v>
      </c>
      <c r="F29" s="156">
        <v>855</v>
      </c>
      <c r="G29" s="177">
        <v>555</v>
      </c>
      <c r="H29" s="177">
        <v>581</v>
      </c>
      <c r="I29" s="178">
        <v>792</v>
      </c>
      <c r="J29" s="181"/>
      <c r="K29" s="156">
        <f t="shared" si="37"/>
        <v>133</v>
      </c>
      <c r="L29" s="177">
        <f t="shared" si="38"/>
        <v>34</v>
      </c>
      <c r="M29" s="177">
        <f t="shared" si="39"/>
        <v>173</v>
      </c>
      <c r="N29" s="177">
        <f t="shared" si="40"/>
        <v>46</v>
      </c>
      <c r="O29" s="177">
        <f t="shared" si="41"/>
        <v>55</v>
      </c>
      <c r="P29" s="177">
        <f>'2011'!AZ29+'2011'!BA29</f>
        <v>115</v>
      </c>
      <c r="Q29" s="177">
        <f>'2011'!AU29</f>
        <v>48</v>
      </c>
      <c r="R29" s="177">
        <f t="shared" si="42"/>
        <v>33</v>
      </c>
      <c r="S29" s="177">
        <f t="shared" si="43"/>
        <v>30</v>
      </c>
      <c r="T29" s="177">
        <f t="shared" si="44"/>
        <v>83</v>
      </c>
      <c r="U29" s="179">
        <f t="shared" si="45"/>
        <v>105</v>
      </c>
      <c r="V29" s="177">
        <f t="shared" si="46"/>
        <v>45</v>
      </c>
      <c r="W29" s="177">
        <f t="shared" si="47"/>
        <v>43</v>
      </c>
      <c r="X29" s="177">
        <f t="shared" si="48"/>
        <v>141</v>
      </c>
      <c r="Y29" s="177">
        <f t="shared" si="49"/>
        <v>88</v>
      </c>
      <c r="Z29" s="177">
        <f t="shared" si="50"/>
        <v>139</v>
      </c>
      <c r="AA29" s="177">
        <f t="shared" si="51"/>
        <v>58</v>
      </c>
      <c r="AB29" s="179">
        <f t="shared" si="52"/>
        <v>41</v>
      </c>
      <c r="AC29" s="177">
        <f t="shared" si="53"/>
        <v>75</v>
      </c>
      <c r="AD29" s="177">
        <f t="shared" si="54"/>
        <v>26</v>
      </c>
      <c r="AE29" s="177">
        <f t="shared" si="55"/>
        <v>51</v>
      </c>
      <c r="AF29" s="177">
        <f t="shared" si="56"/>
        <v>19</v>
      </c>
      <c r="AG29" s="177">
        <f t="shared" si="57"/>
        <v>83</v>
      </c>
      <c r="AH29" s="177">
        <f t="shared" si="58"/>
        <v>86</v>
      </c>
      <c r="AI29" s="177">
        <f t="shared" si="59"/>
        <v>78</v>
      </c>
      <c r="AJ29" s="177">
        <f t="shared" si="60"/>
        <v>87</v>
      </c>
      <c r="AK29" s="179">
        <f t="shared" si="61"/>
        <v>76</v>
      </c>
      <c r="AL29" s="177">
        <f t="shared" si="62"/>
        <v>105</v>
      </c>
      <c r="AM29" s="177">
        <f t="shared" si="63"/>
        <v>137</v>
      </c>
      <c r="AN29" s="177">
        <f t="shared" si="64"/>
        <v>63</v>
      </c>
      <c r="AO29" s="177">
        <f t="shared" si="65"/>
        <v>103</v>
      </c>
      <c r="AP29" s="177">
        <f t="shared" si="66"/>
        <v>62</v>
      </c>
      <c r="AQ29" s="177">
        <f t="shared" si="67"/>
        <v>152</v>
      </c>
      <c r="AR29" s="177">
        <f t="shared" si="68"/>
        <v>29</v>
      </c>
      <c r="AS29" s="178">
        <f t="shared" si="69"/>
        <v>141</v>
      </c>
      <c r="AT29" s="177">
        <v>2</v>
      </c>
      <c r="AU29" s="177">
        <v>48</v>
      </c>
      <c r="AV29" s="177">
        <v>30</v>
      </c>
      <c r="AW29" s="177">
        <v>46</v>
      </c>
      <c r="AX29" s="177">
        <v>31</v>
      </c>
      <c r="AY29" s="177">
        <v>34</v>
      </c>
      <c r="AZ29" s="177">
        <v>6</v>
      </c>
      <c r="BA29" s="177">
        <v>109</v>
      </c>
      <c r="BB29" s="177">
        <v>83</v>
      </c>
      <c r="BC29" s="177">
        <v>105</v>
      </c>
      <c r="BD29" s="177">
        <v>173</v>
      </c>
      <c r="BE29" s="177">
        <v>55</v>
      </c>
      <c r="BF29" s="179">
        <v>133</v>
      </c>
      <c r="BG29" s="177">
        <v>4</v>
      </c>
      <c r="BH29" s="177">
        <v>6</v>
      </c>
      <c r="BI29" s="177">
        <v>135</v>
      </c>
      <c r="BJ29" s="177">
        <v>41</v>
      </c>
      <c r="BK29" s="177">
        <v>2</v>
      </c>
      <c r="BL29" s="177">
        <v>4</v>
      </c>
      <c r="BM29" s="177">
        <v>139</v>
      </c>
      <c r="BN29" s="177">
        <v>82</v>
      </c>
      <c r="BO29" s="177">
        <v>4</v>
      </c>
      <c r="BP29" s="177">
        <v>41</v>
      </c>
      <c r="BQ29" s="177">
        <v>54</v>
      </c>
      <c r="BR29" s="179">
        <v>43</v>
      </c>
      <c r="BS29" s="177">
        <v>4</v>
      </c>
      <c r="BT29" s="177">
        <v>47</v>
      </c>
      <c r="BU29" s="177">
        <v>26</v>
      </c>
      <c r="BV29" s="177">
        <v>83</v>
      </c>
      <c r="BW29" s="177">
        <v>78</v>
      </c>
      <c r="BX29" s="177">
        <v>75</v>
      </c>
      <c r="BY29" s="177">
        <v>87</v>
      </c>
      <c r="BZ29" s="177">
        <v>86</v>
      </c>
      <c r="CA29" s="177">
        <v>19</v>
      </c>
      <c r="CB29" s="179">
        <v>76</v>
      </c>
      <c r="CC29" s="177">
        <v>103</v>
      </c>
      <c r="CD29" s="177">
        <v>62</v>
      </c>
      <c r="CE29" s="177">
        <v>105</v>
      </c>
      <c r="CF29" s="177">
        <v>7</v>
      </c>
      <c r="CG29" s="177">
        <v>134</v>
      </c>
      <c r="CH29" s="177">
        <v>137</v>
      </c>
      <c r="CI29" s="177">
        <v>29</v>
      </c>
      <c r="CJ29" s="177">
        <v>63</v>
      </c>
      <c r="CK29" s="178">
        <v>152</v>
      </c>
      <c r="CL29" s="180">
        <v>2783</v>
      </c>
    </row>
    <row r="30" spans="1:90">
      <c r="A30" s="93">
        <f>ROWS($A$3:A28)</f>
        <v>26</v>
      </c>
      <c r="B30" s="60" t="s">
        <v>276</v>
      </c>
      <c r="C30" s="323"/>
      <c r="D30" s="321" t="s">
        <v>1</v>
      </c>
      <c r="E30" s="320"/>
      <c r="F30" s="207">
        <f>F35/F23</f>
        <v>32.264638466347158</v>
      </c>
      <c r="G30" s="208">
        <f>G35/G23</f>
        <v>40.845436105476672</v>
      </c>
      <c r="H30" s="208">
        <f>H35/H23</f>
        <v>23.383219454852693</v>
      </c>
      <c r="I30" s="209">
        <f>I35/I23</f>
        <v>36.79255227233454</v>
      </c>
      <c r="J30" s="213"/>
      <c r="K30" s="218">
        <f t="shared" si="37"/>
        <v>35.38806787082649</v>
      </c>
      <c r="L30" s="219">
        <f t="shared" si="38"/>
        <v>19.795031055900623</v>
      </c>
      <c r="M30" s="219">
        <f t="shared" si="39"/>
        <v>43.84407216494845</v>
      </c>
      <c r="N30" s="219">
        <f t="shared" si="40"/>
        <v>35.966751918158565</v>
      </c>
      <c r="O30" s="219">
        <f t="shared" si="41"/>
        <v>45.077452667814114</v>
      </c>
      <c r="P30" s="208">
        <f>P35/P23</f>
        <v>25.152446946730187</v>
      </c>
      <c r="Q30" s="219">
        <f>'2011'!AU30</f>
        <v>36.519867549668874</v>
      </c>
      <c r="R30" s="208">
        <f>R35/R23</f>
        <v>22.584364820846904</v>
      </c>
      <c r="S30" s="219">
        <f t="shared" si="43"/>
        <v>29.792109256449166</v>
      </c>
      <c r="T30" s="219">
        <f t="shared" si="44"/>
        <v>33.543531326281531</v>
      </c>
      <c r="U30" s="220">
        <f t="shared" si="45"/>
        <v>37.588872476612508</v>
      </c>
      <c r="V30" s="208">
        <f>V35/V23</f>
        <v>24.246596066565811</v>
      </c>
      <c r="W30" s="219">
        <f t="shared" si="47"/>
        <v>36.584139264990327</v>
      </c>
      <c r="X30" s="208">
        <f>X35/X23</f>
        <v>48.205314009661834</v>
      </c>
      <c r="Y30" s="208">
        <f>Y35/Y23</f>
        <v>38.028444444444446</v>
      </c>
      <c r="Z30" s="219">
        <f t="shared" si="50"/>
        <v>52.759681093394079</v>
      </c>
      <c r="AA30" s="208">
        <f>AA35/AA23</f>
        <v>44.10503282275711</v>
      </c>
      <c r="AB30" s="220">
        <f t="shared" si="52"/>
        <v>37.181034482758619</v>
      </c>
      <c r="AC30" s="219">
        <f t="shared" si="53"/>
        <v>37.443587270973964</v>
      </c>
      <c r="AD30" s="219">
        <f t="shared" si="54"/>
        <v>15.685654008438819</v>
      </c>
      <c r="AE30" s="208">
        <f>AE35/AE23</f>
        <v>16.826072926750566</v>
      </c>
      <c r="AF30" s="219">
        <f t="shared" si="56"/>
        <v>21.553072625698324</v>
      </c>
      <c r="AG30" s="219">
        <f t="shared" si="57"/>
        <v>15.537513997760358</v>
      </c>
      <c r="AH30" s="219">
        <f t="shared" si="58"/>
        <v>37.394444444444446</v>
      </c>
      <c r="AI30" s="219">
        <f t="shared" si="59"/>
        <v>37.616250000000001</v>
      </c>
      <c r="AJ30" s="219">
        <f t="shared" si="60"/>
        <v>52.1505376344086</v>
      </c>
      <c r="AK30" s="220">
        <f t="shared" si="61"/>
        <v>30.872785829307567</v>
      </c>
      <c r="AL30" s="219">
        <f t="shared" si="62"/>
        <v>44.921854304635758</v>
      </c>
      <c r="AM30" s="219">
        <f t="shared" si="63"/>
        <v>41.305194805194802</v>
      </c>
      <c r="AN30" s="219">
        <f t="shared" si="64"/>
        <v>33.678125000000001</v>
      </c>
      <c r="AO30" s="219">
        <f t="shared" si="65"/>
        <v>40.339319470699429</v>
      </c>
      <c r="AP30" s="219">
        <f t="shared" si="66"/>
        <v>47.954653937947491</v>
      </c>
      <c r="AQ30" s="219">
        <f t="shared" si="67"/>
        <v>43.668269230769234</v>
      </c>
      <c r="AR30" s="219">
        <f t="shared" si="68"/>
        <v>19.904591532498511</v>
      </c>
      <c r="AS30" s="209">
        <f>AS35/AS23</f>
        <v>39.184171229467395</v>
      </c>
      <c r="AT30" s="208">
        <f>AT35/AT23</f>
        <v>12.631313131313131</v>
      </c>
      <c r="AU30" s="208">
        <f>AU35/AU23</f>
        <v>36.519867549668874</v>
      </c>
      <c r="AV30" s="208">
        <f t="shared" ref="AV30:CL30" si="70">AV35/AV23</f>
        <v>29.792109256449166</v>
      </c>
      <c r="AW30" s="208">
        <f t="shared" si="70"/>
        <v>35.966751918158565</v>
      </c>
      <c r="AX30" s="208">
        <f>AX35/AX23</f>
        <v>24.05833956619297</v>
      </c>
      <c r="AY30" s="208">
        <f t="shared" si="70"/>
        <v>19.795031055900623</v>
      </c>
      <c r="AZ30" s="208">
        <f t="shared" si="70"/>
        <v>22.846994535519126</v>
      </c>
      <c r="BA30" s="208">
        <f t="shared" si="70"/>
        <v>25.350893697083727</v>
      </c>
      <c r="BB30" s="208">
        <f t="shared" si="70"/>
        <v>33.543531326281531</v>
      </c>
      <c r="BC30" s="208">
        <f t="shared" si="70"/>
        <v>37.588872476612508</v>
      </c>
      <c r="BD30" s="208">
        <f t="shared" si="70"/>
        <v>43.84407216494845</v>
      </c>
      <c r="BE30" s="208">
        <f t="shared" si="70"/>
        <v>45.077452667814114</v>
      </c>
      <c r="BF30" s="216">
        <f t="shared" si="70"/>
        <v>35.38806787082649</v>
      </c>
      <c r="BG30" s="208">
        <f t="shared" si="70"/>
        <v>13.307017543859649</v>
      </c>
      <c r="BH30" s="208">
        <f>BH35/BH23</f>
        <v>38.738461538461536</v>
      </c>
      <c r="BI30" s="208">
        <f>BI35/BI23</f>
        <v>49.011795543905635</v>
      </c>
      <c r="BJ30" s="208">
        <f>BJ35/BJ23</f>
        <v>26.526508226691043</v>
      </c>
      <c r="BK30" s="208">
        <f t="shared" si="70"/>
        <v>20.573033707865168</v>
      </c>
      <c r="BL30" s="208">
        <f t="shared" si="70"/>
        <v>41.362318840579711</v>
      </c>
      <c r="BM30" s="208">
        <f>BM35/BM23</f>
        <v>52.759681093394079</v>
      </c>
      <c r="BN30" s="208">
        <f t="shared" si="70"/>
        <v>39.397104446742503</v>
      </c>
      <c r="BO30" s="208">
        <f t="shared" si="70"/>
        <v>42.458333333333336</v>
      </c>
      <c r="BP30" s="208">
        <f t="shared" si="70"/>
        <v>37.181034482758619</v>
      </c>
      <c r="BQ30" s="208">
        <f>BQ35/BQ23</f>
        <v>44.196304849884527</v>
      </c>
      <c r="BR30" s="216">
        <f t="shared" si="70"/>
        <v>36.584139264990327</v>
      </c>
      <c r="BS30" s="208">
        <f t="shared" si="70"/>
        <v>16.102803738317757</v>
      </c>
      <c r="BT30" s="208">
        <f t="shared" si="70"/>
        <v>16.879722703639516</v>
      </c>
      <c r="BU30" s="208">
        <f t="shared" si="70"/>
        <v>15.685654008438819</v>
      </c>
      <c r="BV30" s="208">
        <f t="shared" si="70"/>
        <v>15.537513997760358</v>
      </c>
      <c r="BW30" s="208">
        <f t="shared" si="70"/>
        <v>37.616250000000001</v>
      </c>
      <c r="BX30" s="208">
        <f t="shared" si="70"/>
        <v>37.443587270973964</v>
      </c>
      <c r="BY30" s="208">
        <f t="shared" si="70"/>
        <v>52.1505376344086</v>
      </c>
      <c r="BZ30" s="208">
        <f t="shared" si="70"/>
        <v>37.394444444444446</v>
      </c>
      <c r="CA30" s="208">
        <f t="shared" si="70"/>
        <v>21.553072625698324</v>
      </c>
      <c r="CB30" s="216">
        <f t="shared" si="70"/>
        <v>30.872785829307567</v>
      </c>
      <c r="CC30" s="208">
        <f t="shared" si="70"/>
        <v>40.339319470699429</v>
      </c>
      <c r="CD30" s="208">
        <f t="shared" si="70"/>
        <v>47.954653937947491</v>
      </c>
      <c r="CE30" s="208">
        <f t="shared" si="70"/>
        <v>44.921854304635758</v>
      </c>
      <c r="CF30" s="208">
        <f t="shared" si="70"/>
        <v>39.779661016949156</v>
      </c>
      <c r="CG30" s="208">
        <f t="shared" si="70"/>
        <v>39.147012162876784</v>
      </c>
      <c r="CH30" s="208">
        <f t="shared" si="70"/>
        <v>41.305194805194802</v>
      </c>
      <c r="CI30" s="208">
        <f t="shared" si="70"/>
        <v>19.904591532498511</v>
      </c>
      <c r="CJ30" s="208">
        <f t="shared" si="70"/>
        <v>33.678125000000001</v>
      </c>
      <c r="CK30" s="209">
        <f t="shared" si="70"/>
        <v>43.668269230769234</v>
      </c>
      <c r="CL30" s="217">
        <f t="shared" si="70"/>
        <v>31.67658159597412</v>
      </c>
    </row>
    <row r="31" spans="1:90">
      <c r="A31" s="93">
        <f>ROWS($A$3:A29)</f>
        <v>27</v>
      </c>
      <c r="B31" s="60" t="str">
        <f>"Entwicklung Betriebe ab 5 ha LF von 2001 / "&amp;C22</f>
        <v>Entwicklung Betriebe ab 5 ha LF von 2001 / 2010</v>
      </c>
      <c r="C31" s="323"/>
      <c r="D31" s="321" t="s">
        <v>4</v>
      </c>
      <c r="E31" s="320"/>
      <c r="F31" s="182">
        <f>(F23-F24)/('2001'!F23-'2001'!F24)%-100</f>
        <v>-21.145494028230189</v>
      </c>
      <c r="G31" s="183">
        <f>(G23-G24)/('2001'!G23-'2001'!G24)%-100</f>
        <v>-19.779787652379085</v>
      </c>
      <c r="H31" s="183">
        <f>(H23-H24)/('2001'!H23-'2001'!H24)%-100</f>
        <v>-18.794927711816499</v>
      </c>
      <c r="I31" s="184">
        <f>(I23-I24)/('2001'!I23-'2001'!I24)%-100</f>
        <v>-22.273257509477986</v>
      </c>
      <c r="J31" s="181"/>
      <c r="K31" s="156">
        <f t="shared" si="37"/>
        <v>-23.485513608428448</v>
      </c>
      <c r="L31" s="177">
        <f t="shared" si="38"/>
        <v>-17.068466730954668</v>
      </c>
      <c r="M31" s="177">
        <f t="shared" si="39"/>
        <v>-25.499729875742844</v>
      </c>
      <c r="N31" s="177">
        <f t="shared" si="40"/>
        <v>-18.266978922716618</v>
      </c>
      <c r="O31" s="177">
        <f t="shared" si="41"/>
        <v>-16.442451420029897</v>
      </c>
      <c r="P31" s="183">
        <f>100-(P23%/((AZ23%)/(100-AZ31)+(BA23%)/(100-BA31)))</f>
        <v>-18.548595714788078</v>
      </c>
      <c r="Q31" s="186">
        <f>'2011'!AU31</f>
        <v>-23.54570637119113</v>
      </c>
      <c r="R31" s="183">
        <f>100-(R23%/((AT23%)/(100-AT31)+(AX23%)/(100-AX31)))</f>
        <v>-14.41252553892528</v>
      </c>
      <c r="S31" s="186">
        <f t="shared" si="43"/>
        <v>-19.878603945371779</v>
      </c>
      <c r="T31" s="186">
        <f t="shared" si="44"/>
        <v>-25.193199381761971</v>
      </c>
      <c r="U31" s="187">
        <f t="shared" si="45"/>
        <v>-21.78060413354531</v>
      </c>
      <c r="V31" s="183">
        <f>100-(V23%/((BG23%)/(100-BG31)+(BJ23%)/(100-BJ31)))</f>
        <v>-10.70248002776637</v>
      </c>
      <c r="W31" s="186">
        <f t="shared" si="47"/>
        <v>-21.993670886075947</v>
      </c>
      <c r="X31" s="183">
        <f>100-(X23%/((BH23%)/(100-BH31)+(BI23%)/(100-BI31)))</f>
        <v>-16.486772896849217</v>
      </c>
      <c r="Y31" s="183">
        <f>100-(Y23%/((BK23%)/(100-BK31)+(BL23%)/(100-BL31)+(BN23%)/(100-BN31)))</f>
        <v>-19.588690181733554</v>
      </c>
      <c r="Z31" s="186">
        <f t="shared" si="50"/>
        <v>-23.272727272727266</v>
      </c>
      <c r="AA31" s="183">
        <f>100-(AA23%/((BO23%)/(100-BO31)+(BQ23%)/(100-BQ31)))</f>
        <v>-17.259985971940282</v>
      </c>
      <c r="AB31" s="187">
        <f t="shared" si="52"/>
        <v>-23.519163763066203</v>
      </c>
      <c r="AC31" s="186">
        <f t="shared" si="53"/>
        <v>-19.984326018808773</v>
      </c>
      <c r="AD31" s="186">
        <f t="shared" si="54"/>
        <v>-14.015151515151516</v>
      </c>
      <c r="AE31" s="183">
        <f>100-(AE23%/((BS23%)/(100-BS31)+(BT23%)/(100-BT31)))</f>
        <v>-15.770382419758363</v>
      </c>
      <c r="AF31" s="186">
        <f t="shared" si="56"/>
        <v>-19.944082013047534</v>
      </c>
      <c r="AG31" s="186">
        <f t="shared" si="57"/>
        <v>-16.385630498533729</v>
      </c>
      <c r="AH31" s="186">
        <f t="shared" si="58"/>
        <v>-21.001088139281819</v>
      </c>
      <c r="AI31" s="186">
        <f t="shared" si="59"/>
        <v>-21.233569261880689</v>
      </c>
      <c r="AJ31" s="186">
        <f t="shared" si="60"/>
        <v>-24.333333333333329</v>
      </c>
      <c r="AK31" s="187">
        <f t="shared" si="61"/>
        <v>-23.653846153846146</v>
      </c>
      <c r="AL31" s="186">
        <f t="shared" si="62"/>
        <v>-20.950323974082067</v>
      </c>
      <c r="AM31" s="186">
        <f t="shared" si="63"/>
        <v>-22.357019064124771</v>
      </c>
      <c r="AN31" s="186">
        <f t="shared" si="64"/>
        <v>-20.78947368421052</v>
      </c>
      <c r="AO31" s="186">
        <f t="shared" si="65"/>
        <v>-22.453703703703709</v>
      </c>
      <c r="AP31" s="186">
        <f t="shared" si="66"/>
        <v>-23.943661971830977</v>
      </c>
      <c r="AQ31" s="186">
        <f t="shared" si="67"/>
        <v>-25.56993222427603</v>
      </c>
      <c r="AR31" s="186">
        <f t="shared" si="68"/>
        <v>-18.628110289172824</v>
      </c>
      <c r="AS31" s="184">
        <f>100-(AS23%/((CF23%)/(100-CF31)+(CG23%)/(100-CG31)))</f>
        <v>-24.071959685113711</v>
      </c>
      <c r="AT31" s="186">
        <f>(AT23-AT24)/('2001'!AT23-'2001'!AT24)%-100</f>
        <v>-4.0816326530612201</v>
      </c>
      <c r="AU31" s="177">
        <f>(AU23-AU24)/('2001'!AU23-'2001'!AU24)%-100</f>
        <v>-23.54570637119113</v>
      </c>
      <c r="AV31" s="177">
        <f>(AV23-AV24)/('2001'!AV23-'2001'!AV24)%-100</f>
        <v>-19.878603945371779</v>
      </c>
      <c r="AW31" s="177">
        <f>(AW23-AW24)/('2001'!AW23-'2001'!AW24)%-100</f>
        <v>-18.266978922716618</v>
      </c>
      <c r="AX31" s="177">
        <f>(AX23-AX24)/('2001'!AX23-'2001'!AX24)%-100</f>
        <v>-16.119402985074629</v>
      </c>
      <c r="AY31" s="177">
        <f>(AY23-AY24)/('2001'!AY23-'2001'!AY24)%-100</f>
        <v>-17.068466730954668</v>
      </c>
      <c r="AZ31" s="177">
        <f>(AZ23-AZ24)/('2001'!AZ23-'2001'!AZ24)%-100</f>
        <v>-17.901234567901241</v>
      </c>
      <c r="BA31" s="177">
        <f>(BA23-BA24)/('2001'!BA23-'2001'!BA24)%-100</f>
        <v>-18.604651162790702</v>
      </c>
      <c r="BB31" s="177">
        <f>(BB23-BB24)/('2001'!BB23-'2001'!BB24)%-100</f>
        <v>-25.193199381761971</v>
      </c>
      <c r="BC31" s="177">
        <f>(BC23-BC24)/('2001'!BC23-'2001'!BC24)%-100</f>
        <v>-21.78060413354531</v>
      </c>
      <c r="BD31" s="177">
        <f>(BD23-BD24)/('2001'!BD23-'2001'!BD24)%-100</f>
        <v>-25.499729875742844</v>
      </c>
      <c r="BE31" s="177">
        <f>(BE23-BE24)/('2001'!BE23-'2001'!BE24)%-100</f>
        <v>-16.442451420029897</v>
      </c>
      <c r="BF31" s="179">
        <f>(BF23-BF24)/('2001'!BF23-'2001'!BF24)%-100</f>
        <v>-23.485513608428448</v>
      </c>
      <c r="BG31" s="177">
        <f>(BG23-BG24)/('2001'!BG23-'2001'!BG24)%-100</f>
        <v>-13.333333333333329</v>
      </c>
      <c r="BH31" s="177">
        <f>(BH23-BH24)/('2001'!BH23-'2001'!BH24)%-100</f>
        <v>-20.634920634920633</v>
      </c>
      <c r="BI31" s="177">
        <f>(BI23-BI24)/('2001'!BI23-'2001'!BI24)%-100</f>
        <v>-16.14654002713705</v>
      </c>
      <c r="BJ31" s="177">
        <f>(BJ23-BJ24)/('2001'!BJ23-'2001'!BJ24)%-100</f>
        <v>-10.169491525423723</v>
      </c>
      <c r="BK31" s="177">
        <f>(BK23-BK24)/('2001'!BK23-'2001'!BK24)%-100</f>
        <v>-10.294117647058826</v>
      </c>
      <c r="BL31" s="177">
        <f>(BL23-BL24)/('2001'!BL23-'2001'!BL24)%-100</f>
        <v>-22.972972972972968</v>
      </c>
      <c r="BM31" s="177">
        <f>(BM23-BM24)/('2001'!BM23-'2001'!BM24)%-100</f>
        <v>-23.272727272727266</v>
      </c>
      <c r="BN31" s="177">
        <f>(BN23-BN24)/('2001'!BN23-'2001'!BN24)%-100</f>
        <v>-20.285423037716626</v>
      </c>
      <c r="BO31" s="177">
        <f>(BO23-BO24)/('2001'!BO23-'2001'!BO24)%-100</f>
        <v>-19.047619047619051</v>
      </c>
      <c r="BP31" s="177">
        <f>(BP23-BP24)/('2001'!BP23-'2001'!BP24)%-100</f>
        <v>-23.519163763066203</v>
      </c>
      <c r="BQ31" s="177">
        <f>(BQ23-BQ24)/('2001'!BQ23-'2001'!BQ24)%-100</f>
        <v>-17.162471395881013</v>
      </c>
      <c r="BR31" s="179">
        <f>(BR23-BR24)/('2001'!BR23-'2001'!BR24)%-100</f>
        <v>-21.993670886075947</v>
      </c>
      <c r="BS31" s="177">
        <f>(BS23-BS24)/('2001'!BS23-'2001'!BS24)%-100</f>
        <v>-12.711864406779654</v>
      </c>
      <c r="BT31" s="177">
        <f>(BT23-BT24)/('2001'!BT23-'2001'!BT24)%-100</f>
        <v>-16.003879728419008</v>
      </c>
      <c r="BU31" s="177">
        <f>(BU23-BU24)/('2001'!BU23-'2001'!BU24)%-100</f>
        <v>-14.015151515151516</v>
      </c>
      <c r="BV31" s="177">
        <f>(BV23-BV24)/('2001'!BV23-'2001'!BV24)%-100</f>
        <v>-16.385630498533729</v>
      </c>
      <c r="BW31" s="177">
        <f>(BW23-BW24)/('2001'!BW23-'2001'!BW24)%-100</f>
        <v>-21.233569261880689</v>
      </c>
      <c r="BX31" s="177">
        <f>(BX23-BX24)/('2001'!BX23-'2001'!BX24)%-100</f>
        <v>-19.984326018808773</v>
      </c>
      <c r="BY31" s="177">
        <f>(BY23-BY24)/('2001'!BY23-'2001'!BY24)%-100</f>
        <v>-24.333333333333329</v>
      </c>
      <c r="BZ31" s="177">
        <f>(BZ23-BZ24)/('2001'!BZ23-'2001'!BZ24)%-100</f>
        <v>-21.001088139281819</v>
      </c>
      <c r="CA31" s="177">
        <f>(CA23-CA24)/('2001'!CA23-'2001'!CA24)%-100</f>
        <v>-19.944082013047534</v>
      </c>
      <c r="CB31" s="179">
        <f>(CB23-CB24)/('2001'!CB23-'2001'!CB24)%-100</f>
        <v>-23.653846153846146</v>
      </c>
      <c r="CC31" s="177">
        <f>(CC23-CC24)/('2001'!CC23-'2001'!CC24)%-100</f>
        <v>-22.453703703703709</v>
      </c>
      <c r="CD31" s="177">
        <f>(CD23-CD24)/('2001'!CD23-'2001'!CD24)%-100</f>
        <v>-23.943661971830977</v>
      </c>
      <c r="CE31" s="177">
        <f>(CE23-CE24)/('2001'!CE23-'2001'!CE24)%-100</f>
        <v>-20.950323974082067</v>
      </c>
      <c r="CF31" s="177">
        <f>(CF23-CF24)/('2001'!CF23-'2001'!CF24)%-100</f>
        <v>-26.086956521739125</v>
      </c>
      <c r="CG31" s="177">
        <f>(CG23-CG24)/('2001'!CG23-'2001'!CG24)%-100</f>
        <v>-23.948354852144945</v>
      </c>
      <c r="CH31" s="177">
        <f>(CH23-CH24)/('2001'!CH23-'2001'!CH24)%-100</f>
        <v>-22.357019064124771</v>
      </c>
      <c r="CI31" s="177">
        <f>(CI23-CI24)/('2001'!CI23-'2001'!CI24)%-100</f>
        <v>-18.628110289172824</v>
      </c>
      <c r="CJ31" s="177">
        <f>(CJ23-CJ24)/('2001'!CJ23-'2001'!CJ24)%-100</f>
        <v>-20.78947368421052</v>
      </c>
      <c r="CK31" s="178">
        <f>(CK23-CK24)/('2001'!CK23-'2001'!CK24)%-100</f>
        <v>-25.56993222427603</v>
      </c>
      <c r="CL31" s="180">
        <f>(CL23-CL24)/('2001'!CL23-'2001'!CL24)%-100</f>
        <v>-20.697314836995574</v>
      </c>
    </row>
    <row r="32" spans="1:90">
      <c r="A32" s="93">
        <f>ROWS($A$3:A30)</f>
        <v>28</v>
      </c>
      <c r="B32" s="60" t="s">
        <v>181</v>
      </c>
      <c r="C32" s="323"/>
      <c r="D32" s="321" t="s">
        <v>4</v>
      </c>
      <c r="E32" s="320"/>
      <c r="F32" s="156">
        <v>37</v>
      </c>
      <c r="G32" s="177">
        <v>31</v>
      </c>
      <c r="H32" s="177">
        <v>28</v>
      </c>
      <c r="I32" s="178">
        <v>42</v>
      </c>
      <c r="J32" s="181"/>
      <c r="K32" s="156">
        <f t="shared" si="37"/>
        <v>35</v>
      </c>
      <c r="L32" s="177">
        <f t="shared" si="38"/>
        <v>35</v>
      </c>
      <c r="M32" s="177">
        <f t="shared" si="39"/>
        <v>34</v>
      </c>
      <c r="N32" s="177">
        <f t="shared" si="40"/>
        <v>42</v>
      </c>
      <c r="O32" s="177">
        <f t="shared" si="41"/>
        <v>41</v>
      </c>
      <c r="P32" s="183">
        <f>(AZ23*AZ32+BA23*BA32)/P23</f>
        <v>40.664356864443484</v>
      </c>
      <c r="Q32" s="186">
        <f>'2011'!AU32</f>
        <v>30</v>
      </c>
      <c r="R32" s="183">
        <f>(AT23*AT32+AX23*AX32)/R23</f>
        <v>41.095765472312706</v>
      </c>
      <c r="S32" s="186">
        <f t="shared" si="43"/>
        <v>35</v>
      </c>
      <c r="T32" s="186">
        <f t="shared" si="44"/>
        <v>38</v>
      </c>
      <c r="U32" s="187">
        <f t="shared" si="45"/>
        <v>47</v>
      </c>
      <c r="V32" s="183">
        <f>(BG23*BG32+BJ23*BJ32)/V23</f>
        <v>16.827534039334342</v>
      </c>
      <c r="W32" s="186">
        <f t="shared" si="47"/>
        <v>25</v>
      </c>
      <c r="X32" s="183">
        <f>(BH23*BH32+BI23*BI32)/X23</f>
        <v>33.706521739130437</v>
      </c>
      <c r="Y32" s="183">
        <f>(BK23*BK32+BL23*BL32+BN23*BN32)/Y23</f>
        <v>43.694222222222223</v>
      </c>
      <c r="Z32" s="186">
        <f t="shared" si="50"/>
        <v>33</v>
      </c>
      <c r="AA32" s="183">
        <f>(BO23*BO32+BQ23*BQ32)/AA23</f>
        <v>31.997811816192559</v>
      </c>
      <c r="AB32" s="187">
        <f t="shared" si="52"/>
        <v>26</v>
      </c>
      <c r="AC32" s="186">
        <f t="shared" si="53"/>
        <v>36</v>
      </c>
      <c r="AD32" s="186">
        <f t="shared" si="54"/>
        <v>28</v>
      </c>
      <c r="AE32" s="183">
        <f>(BS23*BS32+BT23*BT32)/AE23</f>
        <v>32.138109067441107</v>
      </c>
      <c r="AF32" s="186">
        <f t="shared" si="56"/>
        <v>29</v>
      </c>
      <c r="AG32" s="186">
        <f t="shared" si="57"/>
        <v>30</v>
      </c>
      <c r="AH32" s="186">
        <f t="shared" si="58"/>
        <v>45</v>
      </c>
      <c r="AI32" s="186">
        <f t="shared" si="59"/>
        <v>26</v>
      </c>
      <c r="AJ32" s="186">
        <f t="shared" si="60"/>
        <v>26</v>
      </c>
      <c r="AK32" s="187">
        <f t="shared" si="61"/>
        <v>27</v>
      </c>
      <c r="AL32" s="186">
        <f t="shared" si="62"/>
        <v>23</v>
      </c>
      <c r="AM32" s="186">
        <f t="shared" si="63"/>
        <v>49</v>
      </c>
      <c r="AN32" s="186">
        <f t="shared" si="64"/>
        <v>59</v>
      </c>
      <c r="AO32" s="186">
        <f t="shared" si="65"/>
        <v>28</v>
      </c>
      <c r="AP32" s="186">
        <f t="shared" si="66"/>
        <v>24</v>
      </c>
      <c r="AQ32" s="186">
        <f t="shared" si="67"/>
        <v>34</v>
      </c>
      <c r="AR32" s="186">
        <f t="shared" si="68"/>
        <v>48</v>
      </c>
      <c r="AS32" s="184">
        <f>(CF23*CF32+CG23*CG32)/AS23</f>
        <v>41.411149825783973</v>
      </c>
      <c r="AT32" s="186">
        <v>62</v>
      </c>
      <c r="AU32" s="177">
        <v>30</v>
      </c>
      <c r="AV32" s="177">
        <v>35</v>
      </c>
      <c r="AW32" s="177">
        <v>42</v>
      </c>
      <c r="AX32" s="177">
        <v>38</v>
      </c>
      <c r="AY32" s="177">
        <v>35</v>
      </c>
      <c r="AZ32" s="177">
        <v>60</v>
      </c>
      <c r="BA32" s="177">
        <v>39</v>
      </c>
      <c r="BB32" s="177">
        <v>38</v>
      </c>
      <c r="BC32" s="177">
        <v>47</v>
      </c>
      <c r="BD32" s="177">
        <v>34</v>
      </c>
      <c r="BE32" s="177">
        <v>41</v>
      </c>
      <c r="BF32" s="179">
        <v>35</v>
      </c>
      <c r="BG32" s="177">
        <v>16</v>
      </c>
      <c r="BH32" s="177">
        <v>42</v>
      </c>
      <c r="BI32" s="177">
        <v>33</v>
      </c>
      <c r="BJ32" s="177">
        <v>17</v>
      </c>
      <c r="BK32" s="177">
        <v>58</v>
      </c>
      <c r="BL32" s="177">
        <v>63</v>
      </c>
      <c r="BM32" s="177">
        <v>33</v>
      </c>
      <c r="BN32" s="177">
        <v>41</v>
      </c>
      <c r="BO32" s="177">
        <v>50</v>
      </c>
      <c r="BP32" s="177">
        <v>26</v>
      </c>
      <c r="BQ32" s="177">
        <v>31</v>
      </c>
      <c r="BR32" s="179">
        <v>25</v>
      </c>
      <c r="BS32" s="177">
        <v>34</v>
      </c>
      <c r="BT32" s="177">
        <v>32</v>
      </c>
      <c r="BU32" s="177">
        <v>28</v>
      </c>
      <c r="BV32" s="177">
        <v>30</v>
      </c>
      <c r="BW32" s="177">
        <v>26</v>
      </c>
      <c r="BX32" s="177">
        <v>36</v>
      </c>
      <c r="BY32" s="177">
        <v>26</v>
      </c>
      <c r="BZ32" s="177">
        <v>45</v>
      </c>
      <c r="CA32" s="177">
        <v>29</v>
      </c>
      <c r="CB32" s="179">
        <v>27</v>
      </c>
      <c r="CC32" s="177">
        <v>28</v>
      </c>
      <c r="CD32" s="177">
        <v>24</v>
      </c>
      <c r="CE32" s="177">
        <v>23</v>
      </c>
      <c r="CF32" s="177">
        <v>48</v>
      </c>
      <c r="CG32" s="177">
        <v>41</v>
      </c>
      <c r="CH32" s="177">
        <v>49</v>
      </c>
      <c r="CI32" s="177">
        <v>48</v>
      </c>
      <c r="CJ32" s="177">
        <v>59</v>
      </c>
      <c r="CK32" s="178">
        <v>34</v>
      </c>
      <c r="CL32" s="180">
        <v>36</v>
      </c>
    </row>
    <row r="33" spans="1:90">
      <c r="A33" s="93">
        <f>ROWS($A$3:A31)</f>
        <v>29</v>
      </c>
      <c r="B33" s="60" t="s">
        <v>72</v>
      </c>
      <c r="C33" s="323"/>
      <c r="D33" s="321" t="s">
        <v>4</v>
      </c>
      <c r="E33" s="320"/>
      <c r="F33" s="182">
        <f>100-F32</f>
        <v>63</v>
      </c>
      <c r="G33" s="183">
        <f>100-G32</f>
        <v>69</v>
      </c>
      <c r="H33" s="183">
        <f>100-H32</f>
        <v>72</v>
      </c>
      <c r="I33" s="184">
        <f>100-I32</f>
        <v>58</v>
      </c>
      <c r="J33" s="181"/>
      <c r="K33" s="185">
        <f t="shared" si="37"/>
        <v>65</v>
      </c>
      <c r="L33" s="186">
        <f t="shared" si="38"/>
        <v>65</v>
      </c>
      <c r="M33" s="186">
        <f t="shared" si="39"/>
        <v>66</v>
      </c>
      <c r="N33" s="186">
        <f t="shared" si="40"/>
        <v>58</v>
      </c>
      <c r="O33" s="186">
        <f t="shared" si="41"/>
        <v>59</v>
      </c>
      <c r="P33" s="183">
        <f>100-P32</f>
        <v>59.335643135556516</v>
      </c>
      <c r="Q33" s="186">
        <f>'2011'!AU33</f>
        <v>70</v>
      </c>
      <c r="R33" s="183">
        <f>100-R32</f>
        <v>58.904234527687294</v>
      </c>
      <c r="S33" s="186">
        <f t="shared" si="43"/>
        <v>65</v>
      </c>
      <c r="T33" s="186">
        <f t="shared" si="44"/>
        <v>62</v>
      </c>
      <c r="U33" s="187">
        <f t="shared" si="45"/>
        <v>53</v>
      </c>
      <c r="V33" s="183">
        <f>100-V32</f>
        <v>83.172465960665662</v>
      </c>
      <c r="W33" s="186">
        <f t="shared" si="47"/>
        <v>75</v>
      </c>
      <c r="X33" s="183">
        <f>100-X32</f>
        <v>66.293478260869563</v>
      </c>
      <c r="Y33" s="183">
        <f>100-Y32</f>
        <v>56.305777777777777</v>
      </c>
      <c r="Z33" s="186">
        <f t="shared" si="50"/>
        <v>67</v>
      </c>
      <c r="AA33" s="183">
        <f>100-AA32</f>
        <v>68.002188183807448</v>
      </c>
      <c r="AB33" s="187">
        <f t="shared" si="52"/>
        <v>74</v>
      </c>
      <c r="AC33" s="186">
        <f t="shared" si="53"/>
        <v>64</v>
      </c>
      <c r="AD33" s="186">
        <f t="shared" si="54"/>
        <v>72</v>
      </c>
      <c r="AE33" s="183">
        <f>100-AE32</f>
        <v>67.861890932558893</v>
      </c>
      <c r="AF33" s="186">
        <f t="shared" si="56"/>
        <v>71</v>
      </c>
      <c r="AG33" s="186">
        <f t="shared" si="57"/>
        <v>70</v>
      </c>
      <c r="AH33" s="186">
        <f t="shared" si="58"/>
        <v>55</v>
      </c>
      <c r="AI33" s="186">
        <f t="shared" si="59"/>
        <v>74</v>
      </c>
      <c r="AJ33" s="186">
        <f t="shared" si="60"/>
        <v>74</v>
      </c>
      <c r="AK33" s="187">
        <f t="shared" si="61"/>
        <v>73</v>
      </c>
      <c r="AL33" s="186">
        <f t="shared" si="62"/>
        <v>77</v>
      </c>
      <c r="AM33" s="186">
        <f t="shared" si="63"/>
        <v>51</v>
      </c>
      <c r="AN33" s="186">
        <f t="shared" si="64"/>
        <v>41</v>
      </c>
      <c r="AO33" s="186">
        <f t="shared" si="65"/>
        <v>72</v>
      </c>
      <c r="AP33" s="186">
        <f t="shared" si="66"/>
        <v>76</v>
      </c>
      <c r="AQ33" s="186">
        <f t="shared" si="67"/>
        <v>66</v>
      </c>
      <c r="AR33" s="186">
        <f t="shared" si="68"/>
        <v>52</v>
      </c>
      <c r="AS33" s="184">
        <f>100-AS32</f>
        <v>58.588850174216027</v>
      </c>
      <c r="AT33" s="183">
        <f>100-AT32</f>
        <v>38</v>
      </c>
      <c r="AU33" s="183">
        <f>100-AU32</f>
        <v>70</v>
      </c>
      <c r="AV33" s="183">
        <f t="shared" ref="AV33:CL33" si="71">100-AV32</f>
        <v>65</v>
      </c>
      <c r="AW33" s="183">
        <f t="shared" si="71"/>
        <v>58</v>
      </c>
      <c r="AX33" s="183">
        <f>100-AX32</f>
        <v>62</v>
      </c>
      <c r="AY33" s="183">
        <f t="shared" si="71"/>
        <v>65</v>
      </c>
      <c r="AZ33" s="183">
        <f t="shared" si="71"/>
        <v>40</v>
      </c>
      <c r="BA33" s="183">
        <f t="shared" si="71"/>
        <v>61</v>
      </c>
      <c r="BB33" s="183">
        <f t="shared" si="71"/>
        <v>62</v>
      </c>
      <c r="BC33" s="183">
        <f t="shared" si="71"/>
        <v>53</v>
      </c>
      <c r="BD33" s="183">
        <f t="shared" si="71"/>
        <v>66</v>
      </c>
      <c r="BE33" s="183">
        <f t="shared" si="71"/>
        <v>59</v>
      </c>
      <c r="BF33" s="188">
        <f t="shared" si="71"/>
        <v>65</v>
      </c>
      <c r="BG33" s="183">
        <f t="shared" si="71"/>
        <v>84</v>
      </c>
      <c r="BH33" s="183">
        <f>100-BH32</f>
        <v>58</v>
      </c>
      <c r="BI33" s="183">
        <f>100-BI32</f>
        <v>67</v>
      </c>
      <c r="BJ33" s="183">
        <f>100-BJ32</f>
        <v>83</v>
      </c>
      <c r="BK33" s="183">
        <f t="shared" si="71"/>
        <v>42</v>
      </c>
      <c r="BL33" s="183">
        <f t="shared" si="71"/>
        <v>37</v>
      </c>
      <c r="BM33" s="183">
        <f>100-BM32</f>
        <v>67</v>
      </c>
      <c r="BN33" s="183">
        <f t="shared" si="71"/>
        <v>59</v>
      </c>
      <c r="BO33" s="183">
        <f t="shared" si="71"/>
        <v>50</v>
      </c>
      <c r="BP33" s="183">
        <f t="shared" si="71"/>
        <v>74</v>
      </c>
      <c r="BQ33" s="183">
        <f>100-BQ32</f>
        <v>69</v>
      </c>
      <c r="BR33" s="188">
        <f t="shared" si="71"/>
        <v>75</v>
      </c>
      <c r="BS33" s="183">
        <f t="shared" si="71"/>
        <v>66</v>
      </c>
      <c r="BT33" s="183">
        <f t="shared" si="71"/>
        <v>68</v>
      </c>
      <c r="BU33" s="183">
        <f t="shared" si="71"/>
        <v>72</v>
      </c>
      <c r="BV33" s="183">
        <f t="shared" si="71"/>
        <v>70</v>
      </c>
      <c r="BW33" s="183">
        <f t="shared" si="71"/>
        <v>74</v>
      </c>
      <c r="BX33" s="183">
        <f t="shared" si="71"/>
        <v>64</v>
      </c>
      <c r="BY33" s="183">
        <f t="shared" si="71"/>
        <v>74</v>
      </c>
      <c r="BZ33" s="183">
        <f t="shared" si="71"/>
        <v>55</v>
      </c>
      <c r="CA33" s="183">
        <f t="shared" si="71"/>
        <v>71</v>
      </c>
      <c r="CB33" s="188">
        <f t="shared" si="71"/>
        <v>73</v>
      </c>
      <c r="CC33" s="183">
        <f t="shared" si="71"/>
        <v>72</v>
      </c>
      <c r="CD33" s="183">
        <f t="shared" si="71"/>
        <v>76</v>
      </c>
      <c r="CE33" s="183">
        <f t="shared" si="71"/>
        <v>77</v>
      </c>
      <c r="CF33" s="183">
        <f t="shared" si="71"/>
        <v>52</v>
      </c>
      <c r="CG33" s="183">
        <f t="shared" si="71"/>
        <v>59</v>
      </c>
      <c r="CH33" s="183">
        <f t="shared" si="71"/>
        <v>51</v>
      </c>
      <c r="CI33" s="183">
        <f t="shared" si="71"/>
        <v>52</v>
      </c>
      <c r="CJ33" s="183">
        <f t="shared" si="71"/>
        <v>41</v>
      </c>
      <c r="CK33" s="184">
        <f t="shared" si="71"/>
        <v>66</v>
      </c>
      <c r="CL33" s="189">
        <f t="shared" si="71"/>
        <v>64</v>
      </c>
    </row>
    <row r="34" spans="1:90">
      <c r="A34" s="93">
        <f>ROWS($A$3:A32)</f>
        <v>30</v>
      </c>
      <c r="B34" s="67" t="s">
        <v>73</v>
      </c>
      <c r="C34" s="287">
        <v>2010</v>
      </c>
      <c r="D34" s="321"/>
      <c r="E34" s="320"/>
      <c r="F34" s="156"/>
      <c r="G34" s="177"/>
      <c r="H34" s="177"/>
      <c r="I34" s="178"/>
      <c r="J34" s="181"/>
      <c r="K34" s="156"/>
      <c r="L34" s="177"/>
      <c r="M34" s="177"/>
      <c r="N34" s="177"/>
      <c r="O34" s="177"/>
      <c r="P34" s="177"/>
      <c r="Q34" s="177"/>
      <c r="R34" s="177"/>
      <c r="S34" s="177"/>
      <c r="T34" s="177"/>
      <c r="U34" s="179"/>
      <c r="V34" s="177"/>
      <c r="W34" s="177"/>
      <c r="X34" s="177"/>
      <c r="Y34" s="177"/>
      <c r="Z34" s="177"/>
      <c r="AA34" s="177"/>
      <c r="AB34" s="179"/>
      <c r="AC34" s="177"/>
      <c r="AD34" s="177"/>
      <c r="AE34" s="177"/>
      <c r="AF34" s="177"/>
      <c r="AG34" s="177"/>
      <c r="AH34" s="177"/>
      <c r="AI34" s="177"/>
      <c r="AJ34" s="177"/>
      <c r="AK34" s="179"/>
      <c r="AL34" s="177"/>
      <c r="AM34" s="177"/>
      <c r="AN34" s="177"/>
      <c r="AO34" s="177"/>
      <c r="AP34" s="177"/>
      <c r="AQ34" s="177"/>
      <c r="AR34" s="177"/>
      <c r="AS34" s="178"/>
      <c r="AT34" s="177"/>
      <c r="AU34" s="177"/>
      <c r="AV34" s="177"/>
      <c r="AW34" s="177"/>
      <c r="AX34" s="177"/>
      <c r="AY34" s="177"/>
      <c r="AZ34" s="177"/>
      <c r="BA34" s="177"/>
      <c r="BB34" s="177"/>
      <c r="BC34" s="177"/>
      <c r="BD34" s="177"/>
      <c r="BE34" s="177"/>
      <c r="BF34" s="179"/>
      <c r="BG34" s="177"/>
      <c r="BH34" s="177"/>
      <c r="BI34" s="177"/>
      <c r="BJ34" s="177"/>
      <c r="BK34" s="177"/>
      <c r="BL34" s="177"/>
      <c r="BM34" s="177"/>
      <c r="BN34" s="177"/>
      <c r="BO34" s="177"/>
      <c r="BP34" s="177"/>
      <c r="BQ34" s="177"/>
      <c r="BR34" s="179"/>
      <c r="BS34" s="177"/>
      <c r="BT34" s="177"/>
      <c r="BU34" s="177"/>
      <c r="BV34" s="177"/>
      <c r="BW34" s="177"/>
      <c r="BX34" s="177"/>
      <c r="BY34" s="177"/>
      <c r="BZ34" s="177"/>
      <c r="CA34" s="177"/>
      <c r="CB34" s="179"/>
      <c r="CC34" s="177"/>
      <c r="CD34" s="177"/>
      <c r="CE34" s="177"/>
      <c r="CF34" s="177"/>
      <c r="CG34" s="177"/>
      <c r="CH34" s="177"/>
      <c r="CI34" s="177"/>
      <c r="CJ34" s="177"/>
      <c r="CK34" s="178"/>
      <c r="CL34" s="180"/>
    </row>
    <row r="35" spans="1:90">
      <c r="A35" s="93">
        <f>ROWS($A$3:A33)</f>
        <v>31</v>
      </c>
      <c r="B35" s="74" t="s">
        <v>75</v>
      </c>
      <c r="D35" s="342" t="s">
        <v>1</v>
      </c>
      <c r="E35" s="343">
        <v>40652</v>
      </c>
      <c r="F35" s="156">
        <v>464514</v>
      </c>
      <c r="G35" s="177">
        <v>201368</v>
      </c>
      <c r="H35" s="177">
        <v>318269</v>
      </c>
      <c r="I35" s="178">
        <v>425837</v>
      </c>
      <c r="J35" s="181"/>
      <c r="K35" s="156">
        <f>BF35</f>
        <v>64654</v>
      </c>
      <c r="L35" s="177">
        <f>AY35</f>
        <v>25496</v>
      </c>
      <c r="M35" s="177">
        <f>BD35</f>
        <v>68046</v>
      </c>
      <c r="N35" s="177">
        <f>AW35</f>
        <v>28126</v>
      </c>
      <c r="O35" s="177">
        <f>BE35</f>
        <v>26190</v>
      </c>
      <c r="P35" s="177">
        <f>'2011'!AZ35+'2011'!BA35</f>
        <v>58077</v>
      </c>
      <c r="Q35" s="177">
        <f>'2011'!AU35</f>
        <v>22058</v>
      </c>
      <c r="R35" s="177">
        <f t="shared" ref="R35:R41" si="72">AT35+AX35</f>
        <v>34667</v>
      </c>
      <c r="S35" s="177">
        <f>AV35</f>
        <v>19633</v>
      </c>
      <c r="T35" s="177">
        <f t="shared" ref="T35:U39" si="73">BB35</f>
        <v>41225</v>
      </c>
      <c r="U35" s="179">
        <f t="shared" si="73"/>
        <v>76343</v>
      </c>
      <c r="V35" s="177">
        <f>BG35+BJ35</f>
        <v>16027</v>
      </c>
      <c r="W35" s="177">
        <f>BR35</f>
        <v>18914</v>
      </c>
      <c r="X35" s="177">
        <f>BH35+BI35</f>
        <v>39914</v>
      </c>
      <c r="Y35" s="177">
        <f>BK35+BL35+BN35</f>
        <v>42782</v>
      </c>
      <c r="Z35" s="177">
        <f>BM35</f>
        <v>46323</v>
      </c>
      <c r="AA35" s="177">
        <f>BO35+BQ35</f>
        <v>20156</v>
      </c>
      <c r="AB35" s="179">
        <f>BP35</f>
        <v>17252</v>
      </c>
      <c r="AC35" s="177">
        <f>BX35</f>
        <v>38829</v>
      </c>
      <c r="AD35" s="177">
        <f>BU35</f>
        <v>22305</v>
      </c>
      <c r="AE35" s="177">
        <f>BS35+BT35</f>
        <v>52144</v>
      </c>
      <c r="AF35" s="177">
        <f>CA35</f>
        <v>23148</v>
      </c>
      <c r="AG35" s="177">
        <f>BV35</f>
        <v>55500</v>
      </c>
      <c r="AH35" s="177">
        <f>BZ35</f>
        <v>33655</v>
      </c>
      <c r="AI35" s="177">
        <f>BW35</f>
        <v>30093</v>
      </c>
      <c r="AJ35" s="177">
        <f>BY35</f>
        <v>24250</v>
      </c>
      <c r="AK35" s="179">
        <f>CB35</f>
        <v>38344</v>
      </c>
      <c r="AL35" s="177">
        <f>CE35</f>
        <v>33916</v>
      </c>
      <c r="AM35" s="177">
        <f>CH35</f>
        <v>76332</v>
      </c>
      <c r="AN35" s="177">
        <f>CJ35</f>
        <v>86216</v>
      </c>
      <c r="AO35" s="177">
        <f t="shared" ref="AO35:AP39" si="74">CC35</f>
        <v>42679</v>
      </c>
      <c r="AP35" s="177">
        <f t="shared" si="74"/>
        <v>20093</v>
      </c>
      <c r="AQ35" s="177">
        <f>CK35</f>
        <v>54498</v>
      </c>
      <c r="AR35" s="177">
        <f>CI35</f>
        <v>33380</v>
      </c>
      <c r="AS35" s="178">
        <f>CF35+CG35</f>
        <v>78721</v>
      </c>
      <c r="AT35" s="177">
        <v>2501</v>
      </c>
      <c r="AU35" s="177">
        <v>22058</v>
      </c>
      <c r="AV35" s="177">
        <v>19633</v>
      </c>
      <c r="AW35" s="177">
        <v>28126</v>
      </c>
      <c r="AX35" s="177">
        <v>32166</v>
      </c>
      <c r="AY35" s="177">
        <v>25496</v>
      </c>
      <c r="AZ35" s="177">
        <v>4181</v>
      </c>
      <c r="BA35" s="177">
        <v>53896</v>
      </c>
      <c r="BB35" s="177">
        <v>41225</v>
      </c>
      <c r="BC35" s="177">
        <v>76343</v>
      </c>
      <c r="BD35" s="177">
        <v>68046</v>
      </c>
      <c r="BE35" s="177">
        <v>26190</v>
      </c>
      <c r="BF35" s="179">
        <v>64654</v>
      </c>
      <c r="BG35" s="177">
        <v>1517</v>
      </c>
      <c r="BH35" s="177">
        <v>2518</v>
      </c>
      <c r="BI35" s="177">
        <v>37396</v>
      </c>
      <c r="BJ35" s="177">
        <v>14510</v>
      </c>
      <c r="BK35" s="177">
        <v>1831</v>
      </c>
      <c r="BL35" s="177">
        <v>2854</v>
      </c>
      <c r="BM35" s="177">
        <v>46323</v>
      </c>
      <c r="BN35" s="177">
        <v>38097</v>
      </c>
      <c r="BO35" s="177">
        <v>1019</v>
      </c>
      <c r="BP35" s="177">
        <v>17252</v>
      </c>
      <c r="BQ35" s="177">
        <v>19137</v>
      </c>
      <c r="BR35" s="179">
        <v>18914</v>
      </c>
      <c r="BS35" s="177">
        <v>3446</v>
      </c>
      <c r="BT35" s="177">
        <v>48698</v>
      </c>
      <c r="BU35" s="177">
        <v>22305</v>
      </c>
      <c r="BV35" s="177">
        <v>55500</v>
      </c>
      <c r="BW35" s="177">
        <v>30093</v>
      </c>
      <c r="BX35" s="177">
        <v>38829</v>
      </c>
      <c r="BY35" s="177">
        <v>24250</v>
      </c>
      <c r="BZ35" s="177">
        <v>33655</v>
      </c>
      <c r="CA35" s="177">
        <v>23148</v>
      </c>
      <c r="CB35" s="179">
        <v>38344</v>
      </c>
      <c r="CC35" s="177">
        <v>42679</v>
      </c>
      <c r="CD35" s="177">
        <v>20093</v>
      </c>
      <c r="CE35" s="177">
        <v>33916</v>
      </c>
      <c r="CF35" s="177">
        <v>4694</v>
      </c>
      <c r="CG35" s="177">
        <v>74027</v>
      </c>
      <c r="CH35" s="177">
        <v>76332</v>
      </c>
      <c r="CI35" s="177">
        <v>33380</v>
      </c>
      <c r="CJ35" s="177">
        <v>86216</v>
      </c>
      <c r="CK35" s="178">
        <v>54498</v>
      </c>
      <c r="CL35" s="180">
        <v>1409988</v>
      </c>
    </row>
    <row r="36" spans="1:90">
      <c r="A36" s="93">
        <f>ROWS($A$3:A34)</f>
        <v>32</v>
      </c>
      <c r="B36" s="74" t="s">
        <v>76</v>
      </c>
      <c r="C36" s="288"/>
      <c r="D36" s="342" t="s">
        <v>1</v>
      </c>
      <c r="E36" s="343">
        <v>40652</v>
      </c>
      <c r="F36" s="156">
        <v>311698</v>
      </c>
      <c r="G36" s="177">
        <v>141235</v>
      </c>
      <c r="H36" s="177">
        <v>142389</v>
      </c>
      <c r="I36" s="178">
        <v>233949</v>
      </c>
      <c r="J36" s="181"/>
      <c r="K36" s="156">
        <f>BF36</f>
        <v>34721</v>
      </c>
      <c r="L36" s="177">
        <f>AY36</f>
        <v>11730</v>
      </c>
      <c r="M36" s="177">
        <f>BD36</f>
        <v>59094</v>
      </c>
      <c r="N36" s="177">
        <f>AW36</f>
        <v>12509</v>
      </c>
      <c r="O36" s="177">
        <f>BE36</f>
        <v>16900</v>
      </c>
      <c r="P36" s="177">
        <f>'2011'!AZ36+'2011'!BA36</f>
        <v>44169</v>
      </c>
      <c r="Q36" s="177">
        <f>'2011'!AU36</f>
        <v>15243</v>
      </c>
      <c r="R36" s="177">
        <f t="shared" si="72"/>
        <v>25995</v>
      </c>
      <c r="S36" s="177">
        <f>AV36</f>
        <v>10169</v>
      </c>
      <c r="T36" s="177">
        <f t="shared" si="73"/>
        <v>30557</v>
      </c>
      <c r="U36" s="179">
        <f t="shared" si="73"/>
        <v>50614</v>
      </c>
      <c r="V36" s="177">
        <f>BG36+BJ36</f>
        <v>10321</v>
      </c>
      <c r="W36" s="177">
        <f>BR36</f>
        <v>9490</v>
      </c>
      <c r="X36" s="177">
        <f>BH36+BI36</f>
        <v>31499</v>
      </c>
      <c r="Y36" s="177">
        <f>BK36+BL36+BN36</f>
        <v>34019</v>
      </c>
      <c r="Z36" s="177">
        <f>BM36</f>
        <v>35036</v>
      </c>
      <c r="AA36" s="177">
        <f>BO36+BQ36</f>
        <v>12420</v>
      </c>
      <c r="AB36" s="179">
        <f>BP36</f>
        <v>8451</v>
      </c>
      <c r="AC36" s="177">
        <f>BX36</f>
        <v>15862</v>
      </c>
      <c r="AD36" s="177">
        <f>BU36</f>
        <v>10287</v>
      </c>
      <c r="AE36" s="177">
        <f>BS36+BT36</f>
        <v>20874</v>
      </c>
      <c r="AF36" s="177">
        <f>CA36</f>
        <v>7269</v>
      </c>
      <c r="AG36" s="177">
        <f>BV36</f>
        <v>27684</v>
      </c>
      <c r="AH36" s="177">
        <f>BZ36</f>
        <v>19192</v>
      </c>
      <c r="AI36" s="177">
        <f>BW36</f>
        <v>16868</v>
      </c>
      <c r="AJ36" s="177">
        <f>BY36</f>
        <v>9020</v>
      </c>
      <c r="AK36" s="179">
        <f>CB36</f>
        <v>15333</v>
      </c>
      <c r="AL36" s="177">
        <f>CE36</f>
        <v>13101</v>
      </c>
      <c r="AM36" s="177">
        <f>CH36</f>
        <v>51921</v>
      </c>
      <c r="AN36" s="177">
        <f>CJ36</f>
        <v>26833</v>
      </c>
      <c r="AO36" s="177">
        <f t="shared" si="74"/>
        <v>20144</v>
      </c>
      <c r="AP36" s="177">
        <f t="shared" si="74"/>
        <v>13604</v>
      </c>
      <c r="AQ36" s="177">
        <f>CK36</f>
        <v>35032</v>
      </c>
      <c r="AR36" s="177">
        <f>CI36</f>
        <v>13924</v>
      </c>
      <c r="AS36" s="178">
        <f>CF36+CG36</f>
        <v>59389</v>
      </c>
      <c r="AT36" s="177">
        <v>1505</v>
      </c>
      <c r="AU36" s="177">
        <v>15243</v>
      </c>
      <c r="AV36" s="177">
        <v>10169</v>
      </c>
      <c r="AW36" s="177">
        <v>12509</v>
      </c>
      <c r="AX36" s="177">
        <v>24490</v>
      </c>
      <c r="AY36" s="177">
        <v>11730</v>
      </c>
      <c r="AZ36" s="177">
        <v>3228</v>
      </c>
      <c r="BA36" s="177">
        <v>40941</v>
      </c>
      <c r="BB36" s="177">
        <v>30557</v>
      </c>
      <c r="BC36" s="177">
        <v>50614</v>
      </c>
      <c r="BD36" s="177">
        <v>59094</v>
      </c>
      <c r="BE36" s="177">
        <v>16900</v>
      </c>
      <c r="BF36" s="179">
        <v>34721</v>
      </c>
      <c r="BG36" s="177">
        <v>574</v>
      </c>
      <c r="BH36" s="177">
        <v>1983</v>
      </c>
      <c r="BI36" s="177">
        <v>29516</v>
      </c>
      <c r="BJ36" s="177">
        <v>9747</v>
      </c>
      <c r="BK36" s="177">
        <v>1534</v>
      </c>
      <c r="BL36" s="177">
        <v>2446</v>
      </c>
      <c r="BM36" s="177">
        <v>35036</v>
      </c>
      <c r="BN36" s="177">
        <v>30039</v>
      </c>
      <c r="BO36" s="177">
        <v>530</v>
      </c>
      <c r="BP36" s="177">
        <v>8451</v>
      </c>
      <c r="BQ36" s="177">
        <v>11890</v>
      </c>
      <c r="BR36" s="179">
        <v>9490</v>
      </c>
      <c r="BS36" s="177">
        <v>1619</v>
      </c>
      <c r="BT36" s="177">
        <v>19255</v>
      </c>
      <c r="BU36" s="177">
        <v>10287</v>
      </c>
      <c r="BV36" s="177">
        <v>27684</v>
      </c>
      <c r="BW36" s="177">
        <v>16868</v>
      </c>
      <c r="BX36" s="177">
        <v>15862</v>
      </c>
      <c r="BY36" s="177">
        <v>9020</v>
      </c>
      <c r="BZ36" s="177">
        <v>19192</v>
      </c>
      <c r="CA36" s="177">
        <v>7269</v>
      </c>
      <c r="CB36" s="179">
        <v>15333</v>
      </c>
      <c r="CC36" s="177">
        <v>20144</v>
      </c>
      <c r="CD36" s="177">
        <v>13604</v>
      </c>
      <c r="CE36" s="177">
        <v>13101</v>
      </c>
      <c r="CF36" s="177">
        <v>4046</v>
      </c>
      <c r="CG36" s="177">
        <v>55343</v>
      </c>
      <c r="CH36" s="177">
        <v>51921</v>
      </c>
      <c r="CI36" s="177">
        <v>13924</v>
      </c>
      <c r="CJ36" s="177">
        <v>26833</v>
      </c>
      <c r="CK36" s="178">
        <v>35032</v>
      </c>
      <c r="CL36" s="180">
        <v>829272</v>
      </c>
    </row>
    <row r="37" spans="1:90">
      <c r="A37" s="93">
        <f>ROWS($A$3:A35)</f>
        <v>33</v>
      </c>
      <c r="B37" s="74" t="s">
        <v>7</v>
      </c>
      <c r="C37" s="288"/>
      <c r="D37" s="342" t="s">
        <v>1</v>
      </c>
      <c r="E37" s="343">
        <v>40652</v>
      </c>
      <c r="F37" s="156">
        <v>137597</v>
      </c>
      <c r="G37" s="177">
        <v>55922</v>
      </c>
      <c r="H37" s="177">
        <v>156404</v>
      </c>
      <c r="I37" s="178">
        <v>181770</v>
      </c>
      <c r="J37" s="181"/>
      <c r="K37" s="156">
        <f>BF37</f>
        <v>29497</v>
      </c>
      <c r="L37" s="177">
        <f>AY37</f>
        <v>12099</v>
      </c>
      <c r="M37" s="177">
        <f>BD37</f>
        <v>8022</v>
      </c>
      <c r="N37" s="177">
        <f>AW37</f>
        <v>15467</v>
      </c>
      <c r="O37" s="177">
        <f>BE37</f>
        <v>9260</v>
      </c>
      <c r="P37" s="177">
        <f>'2011'!AZ37+'2011'!BA37</f>
        <v>6934</v>
      </c>
      <c r="Q37" s="177">
        <f>'2011'!AU37</f>
        <v>6681</v>
      </c>
      <c r="R37" s="177">
        <f t="shared" si="72"/>
        <v>5997</v>
      </c>
      <c r="S37" s="177">
        <f>AV37</f>
        <v>9094</v>
      </c>
      <c r="T37" s="177">
        <f t="shared" si="73"/>
        <v>9049</v>
      </c>
      <c r="U37" s="179">
        <f t="shared" si="73"/>
        <v>25496</v>
      </c>
      <c r="V37" s="177">
        <f>BG37+BJ37</f>
        <v>4686</v>
      </c>
      <c r="W37" s="177">
        <f>BR37</f>
        <v>9409</v>
      </c>
      <c r="X37" s="177">
        <f>BH37+BI37</f>
        <v>7383</v>
      </c>
      <c r="Y37" s="177">
        <f>BK37+BL37+BN37</f>
        <v>7552</v>
      </c>
      <c r="Z37" s="177">
        <f>BM37</f>
        <v>10649</v>
      </c>
      <c r="AA37" s="177">
        <f>BO37+BQ37</f>
        <v>7491</v>
      </c>
      <c r="AB37" s="179">
        <f>BP37</f>
        <v>8752</v>
      </c>
      <c r="AC37" s="177">
        <f>BX37</f>
        <v>22942</v>
      </c>
      <c r="AD37" s="177">
        <f>BU37</f>
        <v>9545</v>
      </c>
      <c r="AE37" s="177">
        <f>BS37+BT37</f>
        <v>24439</v>
      </c>
      <c r="AF37" s="177">
        <f>CA37</f>
        <v>14435</v>
      </c>
      <c r="AG37" s="177">
        <f>BV37</f>
        <v>20564</v>
      </c>
      <c r="AH37" s="177">
        <f>BZ37</f>
        <v>13349</v>
      </c>
      <c r="AI37" s="177">
        <f>BW37</f>
        <v>13189</v>
      </c>
      <c r="AJ37" s="177">
        <f>BY37</f>
        <v>15208</v>
      </c>
      <c r="AK37" s="179">
        <f>CB37</f>
        <v>22734</v>
      </c>
      <c r="AL37" s="177">
        <f>CE37</f>
        <v>20667</v>
      </c>
      <c r="AM37" s="177">
        <f>CH37</f>
        <v>24245</v>
      </c>
      <c r="AN37" s="177">
        <f>CJ37</f>
        <v>57833</v>
      </c>
      <c r="AO37" s="177">
        <f t="shared" si="74"/>
        <v>22343</v>
      </c>
      <c r="AP37" s="177">
        <f t="shared" si="74"/>
        <v>6418</v>
      </c>
      <c r="AQ37" s="177">
        <f>CK37</f>
        <v>19369</v>
      </c>
      <c r="AR37" s="177">
        <f>CI37</f>
        <v>11723</v>
      </c>
      <c r="AS37" s="178">
        <f>CF37+CG37</f>
        <v>19170</v>
      </c>
      <c r="AT37" s="177">
        <v>535</v>
      </c>
      <c r="AU37" s="177">
        <v>6681</v>
      </c>
      <c r="AV37" s="177">
        <v>9094</v>
      </c>
      <c r="AW37" s="177">
        <v>15467</v>
      </c>
      <c r="AX37" s="177">
        <v>5462</v>
      </c>
      <c r="AY37" s="177">
        <v>12099</v>
      </c>
      <c r="AZ37" s="177">
        <v>211</v>
      </c>
      <c r="BA37" s="177">
        <v>6723</v>
      </c>
      <c r="BB37" s="177">
        <v>9049</v>
      </c>
      <c r="BC37" s="177">
        <v>25496</v>
      </c>
      <c r="BD37" s="177">
        <v>8022</v>
      </c>
      <c r="BE37" s="177">
        <v>9260</v>
      </c>
      <c r="BF37" s="179">
        <v>29497</v>
      </c>
      <c r="BG37" s="177">
        <v>682</v>
      </c>
      <c r="BH37" s="177">
        <v>453</v>
      </c>
      <c r="BI37" s="177">
        <v>6930</v>
      </c>
      <c r="BJ37" s="177">
        <v>4004</v>
      </c>
      <c r="BK37" s="177">
        <v>220</v>
      </c>
      <c r="BL37" s="177">
        <v>400</v>
      </c>
      <c r="BM37" s="177">
        <v>10649</v>
      </c>
      <c r="BN37" s="177">
        <v>6932</v>
      </c>
      <c r="BO37" s="177">
        <v>489</v>
      </c>
      <c r="BP37" s="177">
        <v>8752</v>
      </c>
      <c r="BQ37" s="177">
        <v>7002</v>
      </c>
      <c r="BR37" s="179">
        <v>9409</v>
      </c>
      <c r="BS37" s="177">
        <v>1036</v>
      </c>
      <c r="BT37" s="177">
        <v>23403</v>
      </c>
      <c r="BU37" s="177">
        <v>9545</v>
      </c>
      <c r="BV37" s="177">
        <v>20564</v>
      </c>
      <c r="BW37" s="177">
        <v>13189</v>
      </c>
      <c r="BX37" s="177">
        <v>22942</v>
      </c>
      <c r="BY37" s="177">
        <v>15208</v>
      </c>
      <c r="BZ37" s="177">
        <v>13349</v>
      </c>
      <c r="CA37" s="177">
        <v>14435</v>
      </c>
      <c r="CB37" s="179">
        <v>22734</v>
      </c>
      <c r="CC37" s="177">
        <v>22343</v>
      </c>
      <c r="CD37" s="177">
        <v>6418</v>
      </c>
      <c r="CE37" s="177">
        <v>20667</v>
      </c>
      <c r="CF37" s="177">
        <v>628</v>
      </c>
      <c r="CG37" s="177">
        <v>18542</v>
      </c>
      <c r="CH37" s="177">
        <v>24245</v>
      </c>
      <c r="CI37" s="177">
        <v>11723</v>
      </c>
      <c r="CJ37" s="177">
        <v>57833</v>
      </c>
      <c r="CK37" s="178">
        <v>19369</v>
      </c>
      <c r="CL37" s="180">
        <v>531692</v>
      </c>
    </row>
    <row r="38" spans="1:90">
      <c r="A38" s="93">
        <f>ROWS($A$3:A36)</f>
        <v>34</v>
      </c>
      <c r="B38" s="74" t="s">
        <v>263</v>
      </c>
      <c r="C38" s="288"/>
      <c r="D38" s="342" t="s">
        <v>1</v>
      </c>
      <c r="E38" s="343">
        <v>40652</v>
      </c>
      <c r="F38" s="156">
        <v>3429</v>
      </c>
      <c r="G38" s="177">
        <v>1255</v>
      </c>
      <c r="H38" s="177">
        <v>7541</v>
      </c>
      <c r="I38" s="178">
        <v>8842</v>
      </c>
      <c r="J38" s="181"/>
      <c r="K38" s="156">
        <f>BF38</f>
        <v>10</v>
      </c>
      <c r="L38" s="177">
        <f>AY38</f>
        <v>505</v>
      </c>
      <c r="M38" s="177">
        <f>BD38</f>
        <v>77</v>
      </c>
      <c r="N38" s="177">
        <f>AW38</f>
        <v>100</v>
      </c>
      <c r="O38" s="177">
        <f>BE38</f>
        <v>2</v>
      </c>
      <c r="P38" s="177">
        <f>'2011'!AZ38+'2011'!BA38</f>
        <v>1038</v>
      </c>
      <c r="Q38" s="177">
        <f>'2011'!AU38</f>
        <v>83</v>
      </c>
      <c r="R38" s="177">
        <f t="shared" si="72"/>
        <v>530</v>
      </c>
      <c r="S38" s="177">
        <f>AV38</f>
        <v>163</v>
      </c>
      <c r="T38" s="177">
        <f t="shared" si="73"/>
        <v>761</v>
      </c>
      <c r="U38" s="179">
        <f t="shared" si="73"/>
        <v>159</v>
      </c>
      <c r="V38" s="177">
        <f>BG38+BJ38</f>
        <v>448</v>
      </c>
      <c r="W38" s="177">
        <f>BR38</f>
        <v>2</v>
      </c>
      <c r="X38" s="177">
        <f>BH38+BI38</f>
        <v>231</v>
      </c>
      <c r="Y38" s="177">
        <f>BN38</f>
        <v>380</v>
      </c>
      <c r="Z38" s="177">
        <f>BM38</f>
        <v>133</v>
      </c>
      <c r="AA38" s="177">
        <f>BQ38</f>
        <v>31</v>
      </c>
      <c r="AB38" s="179" t="str">
        <f>BP38</f>
        <v>*</v>
      </c>
      <c r="AC38" s="177" t="str">
        <f>BX38</f>
        <v>*</v>
      </c>
      <c r="AD38" s="177">
        <f>BU38</f>
        <v>629</v>
      </c>
      <c r="AE38" s="177">
        <f>BS38+BT38</f>
        <v>889</v>
      </c>
      <c r="AF38" s="177">
        <f>CA38</f>
        <v>646</v>
      </c>
      <c r="AG38" s="177">
        <f>BV38</f>
        <v>4231</v>
      </c>
      <c r="AH38" s="177">
        <f>BZ38</f>
        <v>971</v>
      </c>
      <c r="AI38" s="177" t="str">
        <f>BW38</f>
        <v>*</v>
      </c>
      <c r="AJ38" s="177" t="str">
        <f>BY38</f>
        <v>*</v>
      </c>
      <c r="AK38" s="179">
        <f>CB38</f>
        <v>155</v>
      </c>
      <c r="AL38" s="177">
        <f>CE38</f>
        <v>10</v>
      </c>
      <c r="AM38" s="177">
        <f>CH38</f>
        <v>40</v>
      </c>
      <c r="AN38" s="177">
        <f>CJ38</f>
        <v>1365</v>
      </c>
      <c r="AO38" s="177">
        <f t="shared" si="74"/>
        <v>101</v>
      </c>
      <c r="AP38" s="177">
        <f t="shared" si="74"/>
        <v>52</v>
      </c>
      <c r="AQ38" s="177">
        <f>CK38</f>
        <v>29</v>
      </c>
      <c r="AR38" s="177">
        <f>CI38</f>
        <v>7179</v>
      </c>
      <c r="AS38" s="178">
        <f>CF38+CG38</f>
        <v>67</v>
      </c>
      <c r="AT38" s="177">
        <v>76</v>
      </c>
      <c r="AU38" s="177">
        <v>83</v>
      </c>
      <c r="AV38" s="177">
        <v>163</v>
      </c>
      <c r="AW38" s="177">
        <v>100</v>
      </c>
      <c r="AX38" s="177">
        <v>454</v>
      </c>
      <c r="AY38" s="177">
        <v>505</v>
      </c>
      <c r="AZ38" s="177">
        <v>59</v>
      </c>
      <c r="BA38" s="177">
        <v>979</v>
      </c>
      <c r="BB38" s="177">
        <v>761</v>
      </c>
      <c r="BC38" s="177">
        <v>159</v>
      </c>
      <c r="BD38" s="177">
        <v>77</v>
      </c>
      <c r="BE38" s="177">
        <v>2</v>
      </c>
      <c r="BF38" s="179">
        <v>10</v>
      </c>
      <c r="BG38" s="177">
        <v>40</v>
      </c>
      <c r="BH38" s="177">
        <v>54</v>
      </c>
      <c r="BI38" s="177">
        <v>177</v>
      </c>
      <c r="BJ38" s="177">
        <v>408</v>
      </c>
      <c r="BK38" s="177" t="s">
        <v>252</v>
      </c>
      <c r="BL38" s="177" t="s">
        <v>252</v>
      </c>
      <c r="BM38" s="177">
        <v>133</v>
      </c>
      <c r="BN38" s="177">
        <v>380</v>
      </c>
      <c r="BO38" s="177" t="s">
        <v>252</v>
      </c>
      <c r="BP38" s="177" t="s">
        <v>252</v>
      </c>
      <c r="BQ38" s="177">
        <v>31</v>
      </c>
      <c r="BR38" s="179">
        <v>2</v>
      </c>
      <c r="BS38" s="177">
        <v>76</v>
      </c>
      <c r="BT38" s="177">
        <v>813</v>
      </c>
      <c r="BU38" s="177">
        <v>629</v>
      </c>
      <c r="BV38" s="177">
        <v>4231</v>
      </c>
      <c r="BW38" s="177" t="s">
        <v>252</v>
      </c>
      <c r="BX38" s="177" t="s">
        <v>252</v>
      </c>
      <c r="BY38" s="177" t="s">
        <v>252</v>
      </c>
      <c r="BZ38" s="177">
        <v>971</v>
      </c>
      <c r="CA38" s="177">
        <v>646</v>
      </c>
      <c r="CB38" s="179">
        <v>155</v>
      </c>
      <c r="CC38" s="177">
        <v>101</v>
      </c>
      <c r="CD38" s="177">
        <v>52</v>
      </c>
      <c r="CE38" s="177">
        <v>10</v>
      </c>
      <c r="CF38" s="177">
        <v>7</v>
      </c>
      <c r="CG38" s="177">
        <v>60</v>
      </c>
      <c r="CH38" s="177">
        <v>40</v>
      </c>
      <c r="CI38" s="177">
        <v>7179</v>
      </c>
      <c r="CJ38" s="177">
        <v>1365</v>
      </c>
      <c r="CK38" s="178">
        <v>29</v>
      </c>
      <c r="CL38" s="180">
        <v>21067</v>
      </c>
    </row>
    <row r="39" spans="1:90">
      <c r="A39" s="93">
        <f>ROWS($A$3:A37)</f>
        <v>35</v>
      </c>
      <c r="B39" s="74" t="s">
        <v>264</v>
      </c>
      <c r="C39" s="241"/>
      <c r="D39" s="342" t="s">
        <v>1</v>
      </c>
      <c r="E39" s="343">
        <v>40652</v>
      </c>
      <c r="F39" s="156">
        <v>10197</v>
      </c>
      <c r="G39" s="177">
        <v>2082</v>
      </c>
      <c r="H39" s="177">
        <v>10885</v>
      </c>
      <c r="I39" s="178">
        <v>519</v>
      </c>
      <c r="J39" s="181"/>
      <c r="K39" s="156" t="str">
        <f>BF39</f>
        <v>-</v>
      </c>
      <c r="L39" s="177">
        <f>AY39</f>
        <v>1046</v>
      </c>
      <c r="M39" s="177">
        <f>BD39</f>
        <v>714</v>
      </c>
      <c r="N39" s="177" t="str">
        <f>AW39</f>
        <v>*</v>
      </c>
      <c r="O39" s="177" t="str">
        <f>BE39</f>
        <v>–</v>
      </c>
      <c r="P39" s="177">
        <f>'2011'!AZ39+'2011'!BA39</f>
        <v>5606</v>
      </c>
      <c r="Q39" s="177" t="str">
        <f>'2011'!AU39</f>
        <v>*</v>
      </c>
      <c r="R39" s="177">
        <f t="shared" si="72"/>
        <v>1963</v>
      </c>
      <c r="S39" s="177">
        <f>AV39</f>
        <v>115</v>
      </c>
      <c r="T39" s="177">
        <f t="shared" si="73"/>
        <v>751</v>
      </c>
      <c r="U39" s="179" t="str">
        <f t="shared" si="73"/>
        <v>*</v>
      </c>
      <c r="V39" s="177">
        <f>BG39+BJ39</f>
        <v>506</v>
      </c>
      <c r="W39" s="177" t="str">
        <f>BR39</f>
        <v>*</v>
      </c>
      <c r="X39" s="177">
        <f>BI39</f>
        <v>714</v>
      </c>
      <c r="Y39" s="177">
        <f>BN39</f>
        <v>611</v>
      </c>
      <c r="Z39" s="177" t="str">
        <f>BM39</f>
        <v>*</v>
      </c>
      <c r="AA39" s="177">
        <f>BQ39</f>
        <v>188</v>
      </c>
      <c r="AB39" s="179" t="str">
        <f>BP39</f>
        <v>-</v>
      </c>
      <c r="AC39" s="177" t="str">
        <f>BX39</f>
        <v xml:space="preserve"> -</v>
      </c>
      <c r="AD39" s="177">
        <f>BU39</f>
        <v>1705</v>
      </c>
      <c r="AE39" s="177">
        <f>BT39</f>
        <v>5142</v>
      </c>
      <c r="AF39" s="177">
        <f>CA39</f>
        <v>739</v>
      </c>
      <c r="AG39" s="177">
        <f>BV39</f>
        <v>2479</v>
      </c>
      <c r="AH39" s="177" t="str">
        <f>BZ39</f>
        <v>*</v>
      </c>
      <c r="AI39" s="177" t="str">
        <f>BW39</f>
        <v xml:space="preserve">      -</v>
      </c>
      <c r="AJ39" s="177" t="str">
        <f>BY39</f>
        <v>*</v>
      </c>
      <c r="AK39" s="179">
        <f>CB39</f>
        <v>56</v>
      </c>
      <c r="AL39" s="177" t="str">
        <f>CE39</f>
        <v>*</v>
      </c>
      <c r="AM39" s="177" t="str">
        <f>CH39</f>
        <v>*</v>
      </c>
      <c r="AN39" s="177" t="str">
        <f>CJ39</f>
        <v>*</v>
      </c>
      <c r="AO39" s="177">
        <f t="shared" si="74"/>
        <v>16</v>
      </c>
      <c r="AP39" s="177">
        <f t="shared" si="74"/>
        <v>9</v>
      </c>
      <c r="AQ39" s="177" t="str">
        <f>CK39</f>
        <v>*</v>
      </c>
      <c r="AR39" s="177">
        <f>CI39</f>
        <v>492</v>
      </c>
      <c r="AS39" s="178" t="str">
        <f>CG39</f>
        <v>*</v>
      </c>
      <c r="AT39" s="177">
        <v>354</v>
      </c>
      <c r="AU39" s="177" t="s">
        <v>252</v>
      </c>
      <c r="AV39" s="177">
        <v>115</v>
      </c>
      <c r="AW39" s="177" t="s">
        <v>252</v>
      </c>
      <c r="AX39" s="177">
        <v>1609</v>
      </c>
      <c r="AY39" s="177">
        <v>1046</v>
      </c>
      <c r="AZ39" s="177">
        <v>634</v>
      </c>
      <c r="BA39" s="177">
        <v>4972</v>
      </c>
      <c r="BB39" s="177">
        <v>751</v>
      </c>
      <c r="BC39" s="177" t="s">
        <v>252</v>
      </c>
      <c r="BD39" s="177">
        <v>714</v>
      </c>
      <c r="BE39" s="177" t="s">
        <v>42</v>
      </c>
      <c r="BF39" s="179" t="s">
        <v>61</v>
      </c>
      <c r="BG39" s="177">
        <v>187</v>
      </c>
      <c r="BH39" s="177" t="s">
        <v>252</v>
      </c>
      <c r="BI39" s="177">
        <v>714</v>
      </c>
      <c r="BJ39" s="177">
        <v>319</v>
      </c>
      <c r="BK39" s="177">
        <v>50</v>
      </c>
      <c r="BL39" s="177" t="s">
        <v>61</v>
      </c>
      <c r="BM39" s="177" t="s">
        <v>252</v>
      </c>
      <c r="BN39" s="177">
        <v>611</v>
      </c>
      <c r="BO39" s="177" t="s">
        <v>61</v>
      </c>
      <c r="BP39" s="177" t="s">
        <v>61</v>
      </c>
      <c r="BQ39" s="177">
        <v>188</v>
      </c>
      <c r="BR39" s="179" t="s">
        <v>252</v>
      </c>
      <c r="BS39" s="177">
        <v>703</v>
      </c>
      <c r="BT39" s="177">
        <v>5142</v>
      </c>
      <c r="BU39" s="177">
        <v>1705</v>
      </c>
      <c r="BV39" s="177">
        <v>2479</v>
      </c>
      <c r="BW39" s="177" t="s">
        <v>322</v>
      </c>
      <c r="BX39" s="177" t="s">
        <v>301</v>
      </c>
      <c r="BY39" s="177" t="s">
        <v>252</v>
      </c>
      <c r="BZ39" s="177" t="s">
        <v>252</v>
      </c>
      <c r="CA39" s="177">
        <v>739</v>
      </c>
      <c r="CB39" s="179">
        <v>56</v>
      </c>
      <c r="CC39" s="177">
        <v>16</v>
      </c>
      <c r="CD39" s="177">
        <v>9</v>
      </c>
      <c r="CE39" s="177" t="s">
        <v>252</v>
      </c>
      <c r="CF39" s="177" t="s">
        <v>301</v>
      </c>
      <c r="CG39" s="177" t="s">
        <v>252</v>
      </c>
      <c r="CH39" s="177" t="s">
        <v>252</v>
      </c>
      <c r="CI39" s="177">
        <v>492</v>
      </c>
      <c r="CJ39" s="177" t="s">
        <v>252</v>
      </c>
      <c r="CK39" s="178" t="s">
        <v>252</v>
      </c>
      <c r="CL39" s="180">
        <v>23682</v>
      </c>
    </row>
    <row r="40" spans="1:90">
      <c r="A40" s="93">
        <f>ROWS($A$3:A38)</f>
        <v>36</v>
      </c>
      <c r="B40" s="67" t="s">
        <v>109</v>
      </c>
      <c r="C40" s="241"/>
      <c r="D40" s="321"/>
      <c r="E40" s="320"/>
      <c r="F40" s="156"/>
      <c r="G40" s="177"/>
      <c r="H40" s="177"/>
      <c r="I40" s="178"/>
      <c r="J40" s="181"/>
      <c r="K40" s="156"/>
      <c r="L40" s="177"/>
      <c r="M40" s="177"/>
      <c r="N40" s="177"/>
      <c r="O40" s="177"/>
      <c r="P40" s="177"/>
      <c r="Q40" s="177"/>
      <c r="R40" s="177"/>
      <c r="S40" s="177"/>
      <c r="T40" s="177"/>
      <c r="U40" s="179"/>
      <c r="V40" s="177"/>
      <c r="W40" s="177"/>
      <c r="X40" s="177"/>
      <c r="Y40" s="177"/>
      <c r="Z40" s="177"/>
      <c r="AA40" s="177"/>
      <c r="AB40" s="179"/>
      <c r="AC40" s="177"/>
      <c r="AD40" s="177"/>
      <c r="AE40" s="177"/>
      <c r="AF40" s="177"/>
      <c r="AG40" s="177"/>
      <c r="AH40" s="177"/>
      <c r="AI40" s="177"/>
      <c r="AJ40" s="177"/>
      <c r="AK40" s="179"/>
      <c r="AL40" s="177"/>
      <c r="AM40" s="177"/>
      <c r="AN40" s="177"/>
      <c r="AO40" s="177"/>
      <c r="AP40" s="177"/>
      <c r="AQ40" s="177"/>
      <c r="AR40" s="177"/>
      <c r="AS40" s="178"/>
      <c r="AT40" s="177"/>
      <c r="AU40" s="177"/>
      <c r="AV40" s="177"/>
      <c r="AW40" s="177"/>
      <c r="AX40" s="177"/>
      <c r="AY40" s="177"/>
      <c r="AZ40" s="177"/>
      <c r="BA40" s="177"/>
      <c r="BB40" s="177"/>
      <c r="BC40" s="177"/>
      <c r="BD40" s="177"/>
      <c r="BE40" s="177"/>
      <c r="BF40" s="179"/>
      <c r="BG40" s="177"/>
      <c r="BH40" s="177"/>
      <c r="BI40" s="177"/>
      <c r="BJ40" s="177"/>
      <c r="BK40" s="177"/>
      <c r="BL40" s="177"/>
      <c r="BM40" s="177"/>
      <c r="BN40" s="177"/>
      <c r="BO40" s="177"/>
      <c r="BP40" s="177"/>
      <c r="BQ40" s="177"/>
      <c r="BR40" s="179"/>
      <c r="BS40" s="177"/>
      <c r="BT40" s="177"/>
      <c r="BU40" s="177"/>
      <c r="BV40" s="177"/>
      <c r="BW40" s="177"/>
      <c r="BX40" s="177"/>
      <c r="BY40" s="177"/>
      <c r="BZ40" s="177"/>
      <c r="CA40" s="177"/>
      <c r="CB40" s="179"/>
      <c r="CC40" s="177"/>
      <c r="CD40" s="177"/>
      <c r="CE40" s="177"/>
      <c r="CF40" s="177"/>
      <c r="CG40" s="177"/>
      <c r="CH40" s="177"/>
      <c r="CI40" s="177"/>
      <c r="CJ40" s="177"/>
      <c r="CK40" s="178"/>
      <c r="CL40" s="180"/>
    </row>
    <row r="41" spans="1:90">
      <c r="A41" s="93">
        <f>ROWS($A$3:A39)</f>
        <v>37</v>
      </c>
      <c r="B41" s="74" t="s">
        <v>78</v>
      </c>
      <c r="C41" s="287">
        <v>2010</v>
      </c>
      <c r="D41" s="342" t="s">
        <v>8</v>
      </c>
      <c r="E41" s="343">
        <v>40648</v>
      </c>
      <c r="F41" s="156">
        <v>306226</v>
      </c>
      <c r="G41" s="177">
        <v>81113</v>
      </c>
      <c r="H41" s="177">
        <v>219647</v>
      </c>
      <c r="I41" s="178">
        <v>408000</v>
      </c>
      <c r="J41" s="181"/>
      <c r="K41" s="156">
        <f t="shared" ref="K41:K54" si="75">BF41</f>
        <v>74901</v>
      </c>
      <c r="L41" s="177">
        <f t="shared" ref="L41:L54" si="76">AY41</f>
        <v>21211</v>
      </c>
      <c r="M41" s="177">
        <f t="shared" ref="M41:M54" si="77">BD41</f>
        <v>20528</v>
      </c>
      <c r="N41" s="177">
        <f t="shared" ref="N41:N54" si="78">AW41</f>
        <v>30701</v>
      </c>
      <c r="O41" s="177">
        <f t="shared" ref="O41:O54" si="79">BE41</f>
        <v>23134</v>
      </c>
      <c r="P41" s="177">
        <f>'2011'!AZ41+'2011'!BA41</f>
        <v>13312</v>
      </c>
      <c r="Q41" s="177">
        <f>'2011'!AU41</f>
        <v>9176</v>
      </c>
      <c r="R41" s="177">
        <f t="shared" si="72"/>
        <v>14147</v>
      </c>
      <c r="S41" s="177">
        <f t="shared" ref="S41:S54" si="80">AV41</f>
        <v>9465</v>
      </c>
      <c r="T41" s="177">
        <f t="shared" ref="T41:T54" si="81">BB41</f>
        <v>22985</v>
      </c>
      <c r="U41" s="179">
        <f t="shared" ref="U41:U54" si="82">BC41</f>
        <v>66666</v>
      </c>
      <c r="V41" s="177">
        <f>BG41+BJ41</f>
        <v>2671</v>
      </c>
      <c r="W41" s="177">
        <f t="shared" ref="W41:W54" si="83">BR41</f>
        <v>12582</v>
      </c>
      <c r="X41" s="177">
        <f>BH41+BI41</f>
        <v>5789</v>
      </c>
      <c r="Y41" s="177">
        <f>BK41+BL41+BN41</f>
        <v>13038</v>
      </c>
      <c r="Z41" s="177">
        <f t="shared" ref="Z41:Z54" si="84">BM41</f>
        <v>24361</v>
      </c>
      <c r="AA41" s="177">
        <f>BO41+BQ41</f>
        <v>10501</v>
      </c>
      <c r="AB41" s="179">
        <f t="shared" ref="AB41:AB54" si="85">BP41</f>
        <v>12171</v>
      </c>
      <c r="AC41" s="177">
        <f t="shared" ref="AC41:AC54" si="86">BX41</f>
        <v>32488</v>
      </c>
      <c r="AD41" s="177">
        <f t="shared" ref="AD41:AD54" si="87">BU41</f>
        <v>14922</v>
      </c>
      <c r="AE41" s="177">
        <f>BS41+BT41</f>
        <v>29503</v>
      </c>
      <c r="AF41" s="177">
        <f t="shared" ref="AF41:AF54" si="88">CA41</f>
        <v>15660</v>
      </c>
      <c r="AG41" s="177">
        <f t="shared" ref="AG41:AG54" si="89">BV41</f>
        <v>30847</v>
      </c>
      <c r="AH41" s="177">
        <f t="shared" ref="AH41:AH54" si="90">BZ41</f>
        <v>25426</v>
      </c>
      <c r="AI41" s="177">
        <f t="shared" ref="AI41:AI54" si="91">BW41</f>
        <v>18677</v>
      </c>
      <c r="AJ41" s="177">
        <f t="shared" ref="AJ41:AJ54" si="92">BY41</f>
        <v>16473</v>
      </c>
      <c r="AK41" s="179">
        <f t="shared" ref="AK41:AK54" si="93">CB41</f>
        <v>35651</v>
      </c>
      <c r="AL41" s="177">
        <f t="shared" ref="AL41:AL54" si="94">CE41</f>
        <v>14073</v>
      </c>
      <c r="AM41" s="177">
        <f t="shared" ref="AM41:AM54" si="95">CH41</f>
        <v>92903</v>
      </c>
      <c r="AN41" s="177">
        <f t="shared" ref="AN41:AN54" si="96">CJ41</f>
        <v>147411</v>
      </c>
      <c r="AO41" s="177">
        <f t="shared" ref="AO41:AO54" si="97">CC41</f>
        <v>29721</v>
      </c>
      <c r="AP41" s="177">
        <f t="shared" ref="AP41:AP54" si="98">CD41</f>
        <v>6400</v>
      </c>
      <c r="AQ41" s="177">
        <f t="shared" ref="AQ41:AQ54" si="99">CK41</f>
        <v>37412</v>
      </c>
      <c r="AR41" s="177">
        <f t="shared" ref="AR41:AR54" si="100">CI41</f>
        <v>25374</v>
      </c>
      <c r="AS41" s="178">
        <f>CF41+CG41</f>
        <v>54706</v>
      </c>
      <c r="AT41" s="177">
        <v>921</v>
      </c>
      <c r="AU41" s="177">
        <v>9176</v>
      </c>
      <c r="AV41" s="177">
        <v>9465</v>
      </c>
      <c r="AW41" s="177">
        <v>30701</v>
      </c>
      <c r="AX41" s="177">
        <v>13226</v>
      </c>
      <c r="AY41" s="177">
        <v>21211</v>
      </c>
      <c r="AZ41" s="177">
        <v>128</v>
      </c>
      <c r="BA41" s="177">
        <v>13184</v>
      </c>
      <c r="BB41" s="177">
        <v>22985</v>
      </c>
      <c r="BC41" s="177">
        <v>66666</v>
      </c>
      <c r="BD41" s="177">
        <v>20528</v>
      </c>
      <c r="BE41" s="177">
        <v>23134</v>
      </c>
      <c r="BF41" s="179">
        <v>74901</v>
      </c>
      <c r="BG41" s="177">
        <v>206</v>
      </c>
      <c r="BH41" s="177">
        <v>292</v>
      </c>
      <c r="BI41" s="177">
        <v>5497</v>
      </c>
      <c r="BJ41" s="177">
        <v>2465</v>
      </c>
      <c r="BK41" s="177">
        <v>515</v>
      </c>
      <c r="BL41" s="177">
        <v>76</v>
      </c>
      <c r="BM41" s="177">
        <v>24361</v>
      </c>
      <c r="BN41" s="177">
        <v>12447</v>
      </c>
      <c r="BO41" s="177">
        <v>226</v>
      </c>
      <c r="BP41" s="177">
        <v>12171</v>
      </c>
      <c r="BQ41" s="177">
        <v>10275</v>
      </c>
      <c r="BR41" s="179">
        <v>12582</v>
      </c>
      <c r="BS41" s="177">
        <v>524</v>
      </c>
      <c r="BT41" s="177">
        <v>28979</v>
      </c>
      <c r="BU41" s="177">
        <v>14922</v>
      </c>
      <c r="BV41" s="177">
        <v>30847</v>
      </c>
      <c r="BW41" s="177">
        <v>18677</v>
      </c>
      <c r="BX41" s="177">
        <v>32488</v>
      </c>
      <c r="BY41" s="177">
        <v>16473</v>
      </c>
      <c r="BZ41" s="177">
        <v>25426</v>
      </c>
      <c r="CA41" s="177">
        <v>15660</v>
      </c>
      <c r="CB41" s="179">
        <v>35651</v>
      </c>
      <c r="CC41" s="177">
        <v>29721</v>
      </c>
      <c r="CD41" s="177">
        <v>6400</v>
      </c>
      <c r="CE41" s="177">
        <v>14073</v>
      </c>
      <c r="CF41" s="177">
        <v>2036</v>
      </c>
      <c r="CG41" s="177">
        <v>52670</v>
      </c>
      <c r="CH41" s="177">
        <v>92903</v>
      </c>
      <c r="CI41" s="177">
        <v>25374</v>
      </c>
      <c r="CJ41" s="177">
        <v>147411</v>
      </c>
      <c r="CK41" s="178">
        <v>37412</v>
      </c>
      <c r="CL41" s="180">
        <v>1014986</v>
      </c>
    </row>
    <row r="42" spans="1:90">
      <c r="A42" s="93">
        <f>ROWS($A$3:A40)</f>
        <v>38</v>
      </c>
      <c r="B42" s="74" t="s">
        <v>15</v>
      </c>
      <c r="C42" s="288"/>
      <c r="D42" s="342" t="s">
        <v>8</v>
      </c>
      <c r="E42" s="343">
        <v>40648</v>
      </c>
      <c r="F42" s="156">
        <v>101650</v>
      </c>
      <c r="G42" s="177">
        <v>22877</v>
      </c>
      <c r="H42" s="177">
        <v>68005</v>
      </c>
      <c r="I42" s="178">
        <v>161183</v>
      </c>
      <c r="J42" s="181"/>
      <c r="K42" s="156">
        <f t="shared" si="75"/>
        <v>25104</v>
      </c>
      <c r="L42" s="177">
        <f t="shared" si="76"/>
        <v>6718</v>
      </c>
      <c r="M42" s="177">
        <f t="shared" si="77"/>
        <v>6932</v>
      </c>
      <c r="N42" s="177">
        <f t="shared" si="78"/>
        <v>10603</v>
      </c>
      <c r="O42" s="177">
        <f t="shared" si="79"/>
        <v>7912</v>
      </c>
      <c r="P42" s="177">
        <f>'2011'!BA42</f>
        <v>4378</v>
      </c>
      <c r="Q42" s="177">
        <f>'2011'!AU42</f>
        <v>3178</v>
      </c>
      <c r="R42" s="177">
        <f>AX42</f>
        <v>4344</v>
      </c>
      <c r="S42" s="177">
        <f t="shared" si="80"/>
        <v>2502</v>
      </c>
      <c r="T42" s="177">
        <f t="shared" si="81"/>
        <v>7569</v>
      </c>
      <c r="U42" s="179">
        <f t="shared" si="82"/>
        <v>21941</v>
      </c>
      <c r="V42" s="177">
        <f>BJ42</f>
        <v>380</v>
      </c>
      <c r="W42" s="177">
        <f t="shared" si="83"/>
        <v>3774</v>
      </c>
      <c r="X42" s="177">
        <f>BI42</f>
        <v>1202</v>
      </c>
      <c r="Y42" s="177">
        <f>BN42</f>
        <v>3371</v>
      </c>
      <c r="Z42" s="177">
        <f t="shared" si="84"/>
        <v>7534</v>
      </c>
      <c r="AA42" s="177">
        <f>BQ42</f>
        <v>2881</v>
      </c>
      <c r="AB42" s="179">
        <f t="shared" si="85"/>
        <v>3499</v>
      </c>
      <c r="AC42" s="177">
        <f t="shared" si="86"/>
        <v>12455</v>
      </c>
      <c r="AD42" s="177">
        <f t="shared" si="87"/>
        <v>3583</v>
      </c>
      <c r="AE42" s="177">
        <f>BS42+BT42</f>
        <v>10349</v>
      </c>
      <c r="AF42" s="177">
        <f t="shared" si="88"/>
        <v>3769</v>
      </c>
      <c r="AG42" s="177">
        <f t="shared" si="89"/>
        <v>8168</v>
      </c>
      <c r="AH42" s="177">
        <f t="shared" si="90"/>
        <v>8828</v>
      </c>
      <c r="AI42" s="177">
        <f t="shared" si="91"/>
        <v>5097</v>
      </c>
      <c r="AJ42" s="177">
        <f t="shared" si="92"/>
        <v>5405</v>
      </c>
      <c r="AK42" s="179">
        <f t="shared" si="93"/>
        <v>10351</v>
      </c>
      <c r="AL42" s="177">
        <f t="shared" si="94"/>
        <v>3430</v>
      </c>
      <c r="AM42" s="177">
        <f t="shared" si="95"/>
        <v>35289</v>
      </c>
      <c r="AN42" s="177">
        <f t="shared" si="96"/>
        <v>69996</v>
      </c>
      <c r="AO42" s="177">
        <f t="shared" si="97"/>
        <v>8194</v>
      </c>
      <c r="AP42" s="177">
        <f t="shared" si="98"/>
        <v>1601</v>
      </c>
      <c r="AQ42" s="177">
        <f t="shared" si="99"/>
        <v>12854</v>
      </c>
      <c r="AR42" s="177">
        <f t="shared" si="100"/>
        <v>10539</v>
      </c>
      <c r="AS42" s="178">
        <f>CF42+CG42</f>
        <v>19280</v>
      </c>
      <c r="AT42" s="177" t="s">
        <v>252</v>
      </c>
      <c r="AU42" s="177">
        <v>3178</v>
      </c>
      <c r="AV42" s="177">
        <v>2502</v>
      </c>
      <c r="AW42" s="177">
        <v>10603</v>
      </c>
      <c r="AX42" s="177">
        <v>4344</v>
      </c>
      <c r="AY42" s="177">
        <v>6718</v>
      </c>
      <c r="AZ42" s="177" t="s">
        <v>252</v>
      </c>
      <c r="BA42" s="177">
        <v>4378</v>
      </c>
      <c r="BB42" s="177">
        <v>7569</v>
      </c>
      <c r="BC42" s="177">
        <v>21941</v>
      </c>
      <c r="BD42" s="177">
        <v>6932</v>
      </c>
      <c r="BE42" s="177">
        <v>7912</v>
      </c>
      <c r="BF42" s="179">
        <v>25104</v>
      </c>
      <c r="BG42" s="177" t="s">
        <v>61</v>
      </c>
      <c r="BH42" s="177" t="s">
        <v>252</v>
      </c>
      <c r="BI42" s="177">
        <v>1202</v>
      </c>
      <c r="BJ42" s="177">
        <v>380</v>
      </c>
      <c r="BK42" s="177" t="s">
        <v>252</v>
      </c>
      <c r="BL42" s="177" t="s">
        <v>252</v>
      </c>
      <c r="BM42" s="177">
        <v>7534</v>
      </c>
      <c r="BN42" s="177">
        <v>3371</v>
      </c>
      <c r="BO42" s="177" t="s">
        <v>252</v>
      </c>
      <c r="BP42" s="177">
        <v>3499</v>
      </c>
      <c r="BQ42" s="177">
        <v>2881</v>
      </c>
      <c r="BR42" s="179">
        <v>3774</v>
      </c>
      <c r="BS42" s="177">
        <v>93</v>
      </c>
      <c r="BT42" s="177">
        <v>10256</v>
      </c>
      <c r="BU42" s="177">
        <v>3583</v>
      </c>
      <c r="BV42" s="177">
        <v>8168</v>
      </c>
      <c r="BW42" s="177">
        <v>5097</v>
      </c>
      <c r="BX42" s="177">
        <v>12455</v>
      </c>
      <c r="BY42" s="177">
        <v>5405</v>
      </c>
      <c r="BZ42" s="177">
        <v>8828</v>
      </c>
      <c r="CA42" s="177">
        <v>3769</v>
      </c>
      <c r="CB42" s="179">
        <v>10351</v>
      </c>
      <c r="CC42" s="177">
        <v>8194</v>
      </c>
      <c r="CD42" s="177">
        <v>1601</v>
      </c>
      <c r="CE42" s="177">
        <v>3430</v>
      </c>
      <c r="CF42" s="177">
        <v>827</v>
      </c>
      <c r="CG42" s="177">
        <v>18453</v>
      </c>
      <c r="CH42" s="177">
        <v>35289</v>
      </c>
      <c r="CI42" s="177">
        <v>10539</v>
      </c>
      <c r="CJ42" s="177">
        <v>69996</v>
      </c>
      <c r="CK42" s="178">
        <v>12854</v>
      </c>
      <c r="CL42" s="180">
        <v>353715</v>
      </c>
    </row>
    <row r="43" spans="1:90">
      <c r="A43" s="93">
        <f>ROWS($A$3:A41)</f>
        <v>39</v>
      </c>
      <c r="B43" s="74" t="s">
        <v>253</v>
      </c>
      <c r="C43" s="288"/>
      <c r="D43" s="342" t="s">
        <v>8</v>
      </c>
      <c r="E43" s="343">
        <v>40648</v>
      </c>
      <c r="F43" s="156">
        <v>15500</v>
      </c>
      <c r="G43" s="177">
        <v>7543</v>
      </c>
      <c r="H43" s="177">
        <v>21801</v>
      </c>
      <c r="I43" s="178">
        <v>12214</v>
      </c>
      <c r="J43" s="181"/>
      <c r="K43" s="156">
        <f t="shared" si="75"/>
        <v>4058</v>
      </c>
      <c r="L43" s="177">
        <f t="shared" si="76"/>
        <v>1576</v>
      </c>
      <c r="M43" s="177">
        <f t="shared" si="77"/>
        <v>690</v>
      </c>
      <c r="N43" s="177">
        <f t="shared" si="78"/>
        <v>1576</v>
      </c>
      <c r="O43" s="177">
        <f t="shared" si="79"/>
        <v>593</v>
      </c>
      <c r="P43" s="177">
        <f>'2011'!BA43</f>
        <v>629</v>
      </c>
      <c r="Q43" s="177">
        <f>'2011'!AU43</f>
        <v>616</v>
      </c>
      <c r="R43" s="177">
        <f>AX43</f>
        <v>520</v>
      </c>
      <c r="S43" s="177">
        <f t="shared" si="80"/>
        <v>795</v>
      </c>
      <c r="T43" s="177">
        <f t="shared" si="81"/>
        <v>1229</v>
      </c>
      <c r="U43" s="179">
        <f t="shared" si="82"/>
        <v>3189</v>
      </c>
      <c r="V43" s="177">
        <f>BG43+BJ43</f>
        <v>641</v>
      </c>
      <c r="W43" s="177">
        <f t="shared" si="83"/>
        <v>1280</v>
      </c>
      <c r="X43" s="177">
        <f>BI43</f>
        <v>815</v>
      </c>
      <c r="Y43" s="177">
        <f>BN43</f>
        <v>1065</v>
      </c>
      <c r="Z43" s="177">
        <f t="shared" si="84"/>
        <v>1364</v>
      </c>
      <c r="AA43" s="177">
        <f>BQ43</f>
        <v>968</v>
      </c>
      <c r="AB43" s="179">
        <f t="shared" si="85"/>
        <v>1252</v>
      </c>
      <c r="AC43" s="177">
        <f t="shared" si="86"/>
        <v>1981</v>
      </c>
      <c r="AD43" s="177">
        <f t="shared" si="87"/>
        <v>2079</v>
      </c>
      <c r="AE43" s="177">
        <f>BS43+BT43</f>
        <v>3167</v>
      </c>
      <c r="AF43" s="177">
        <f t="shared" si="88"/>
        <v>2676</v>
      </c>
      <c r="AG43" s="177">
        <f t="shared" si="89"/>
        <v>4028</v>
      </c>
      <c r="AH43" s="177">
        <f t="shared" si="90"/>
        <v>1242</v>
      </c>
      <c r="AI43" s="177">
        <f t="shared" si="91"/>
        <v>1694</v>
      </c>
      <c r="AJ43" s="177">
        <f t="shared" si="92"/>
        <v>1262</v>
      </c>
      <c r="AK43" s="179">
        <f t="shared" si="93"/>
        <v>3672</v>
      </c>
      <c r="AL43" s="177">
        <f t="shared" si="94"/>
        <v>1809</v>
      </c>
      <c r="AM43" s="177">
        <f t="shared" si="95"/>
        <v>1846</v>
      </c>
      <c r="AN43" s="177">
        <f t="shared" si="96"/>
        <v>2095</v>
      </c>
      <c r="AO43" s="177">
        <f t="shared" si="97"/>
        <v>1435</v>
      </c>
      <c r="AP43" s="177">
        <f t="shared" si="98"/>
        <v>617</v>
      </c>
      <c r="AQ43" s="177">
        <f t="shared" si="99"/>
        <v>1805</v>
      </c>
      <c r="AR43" s="177">
        <f t="shared" si="100"/>
        <v>922</v>
      </c>
      <c r="AS43" s="178">
        <f>CF43+CG43</f>
        <v>1685</v>
      </c>
      <c r="AT43" s="177" t="s">
        <v>252</v>
      </c>
      <c r="AU43" s="177">
        <v>616</v>
      </c>
      <c r="AV43" s="177">
        <v>795</v>
      </c>
      <c r="AW43" s="177">
        <v>1576</v>
      </c>
      <c r="AX43" s="177">
        <v>520</v>
      </c>
      <c r="AY43" s="177">
        <v>1576</v>
      </c>
      <c r="AZ43" s="177" t="s">
        <v>252</v>
      </c>
      <c r="BA43" s="177">
        <v>629</v>
      </c>
      <c r="BB43" s="177">
        <v>1229</v>
      </c>
      <c r="BC43" s="177">
        <v>3189</v>
      </c>
      <c r="BD43" s="177">
        <v>690</v>
      </c>
      <c r="BE43" s="177">
        <v>593</v>
      </c>
      <c r="BF43" s="179">
        <v>4058</v>
      </c>
      <c r="BG43" s="177">
        <v>70</v>
      </c>
      <c r="BH43" s="177" t="s">
        <v>252</v>
      </c>
      <c r="BI43" s="177">
        <v>815</v>
      </c>
      <c r="BJ43" s="177">
        <v>571</v>
      </c>
      <c r="BK43" s="177" t="s">
        <v>252</v>
      </c>
      <c r="BL43" s="177" t="s">
        <v>252</v>
      </c>
      <c r="BM43" s="177">
        <v>1364</v>
      </c>
      <c r="BN43" s="177">
        <v>1065</v>
      </c>
      <c r="BO43" s="177" t="s">
        <v>252</v>
      </c>
      <c r="BP43" s="177">
        <v>1252</v>
      </c>
      <c r="BQ43" s="177">
        <v>968</v>
      </c>
      <c r="BR43" s="179">
        <v>1280</v>
      </c>
      <c r="BS43" s="177">
        <v>49</v>
      </c>
      <c r="BT43" s="177">
        <v>3118</v>
      </c>
      <c r="BU43" s="177">
        <v>2079</v>
      </c>
      <c r="BV43" s="177">
        <v>4028</v>
      </c>
      <c r="BW43" s="177">
        <v>1694</v>
      </c>
      <c r="BX43" s="177">
        <v>1981</v>
      </c>
      <c r="BY43" s="177">
        <v>1262</v>
      </c>
      <c r="BZ43" s="177">
        <v>1242</v>
      </c>
      <c r="CA43" s="177">
        <v>2676</v>
      </c>
      <c r="CB43" s="179">
        <v>3672</v>
      </c>
      <c r="CC43" s="177">
        <v>1435</v>
      </c>
      <c r="CD43" s="177">
        <v>617</v>
      </c>
      <c r="CE43" s="177">
        <v>1809</v>
      </c>
      <c r="CF43" s="177">
        <v>33</v>
      </c>
      <c r="CG43" s="177">
        <v>1652</v>
      </c>
      <c r="CH43" s="177">
        <v>1846</v>
      </c>
      <c r="CI43" s="177">
        <v>922</v>
      </c>
      <c r="CJ43" s="177">
        <v>2095</v>
      </c>
      <c r="CK43" s="178">
        <v>1805</v>
      </c>
      <c r="CL43" s="180">
        <v>57058</v>
      </c>
    </row>
    <row r="44" spans="1:90">
      <c r="A44" s="93">
        <f>ROWS($A$3:A42)</f>
        <v>40</v>
      </c>
      <c r="B44" s="75" t="s">
        <v>21</v>
      </c>
      <c r="C44" s="345"/>
      <c r="D44" s="342" t="s">
        <v>260</v>
      </c>
      <c r="E44" s="343">
        <v>40648</v>
      </c>
      <c r="F44" s="156">
        <f>F42/F123</f>
        <v>32.290343074968234</v>
      </c>
      <c r="G44" s="177">
        <f>G42/G123</f>
        <v>33.593245227606459</v>
      </c>
      <c r="H44" s="177">
        <f>H42/H123</f>
        <v>24.983468038207199</v>
      </c>
      <c r="I44" s="178">
        <f>I42/I123</f>
        <v>38.195023696682462</v>
      </c>
      <c r="J44" s="181"/>
      <c r="K44" s="156">
        <f t="shared" si="75"/>
        <v>33.651474530831102</v>
      </c>
      <c r="L44" s="177">
        <f t="shared" si="76"/>
        <v>27.760330578512395</v>
      </c>
      <c r="M44" s="177">
        <f t="shared" si="77"/>
        <v>27.291338582677167</v>
      </c>
      <c r="N44" s="177">
        <f t="shared" si="78"/>
        <v>34.313915857605181</v>
      </c>
      <c r="O44" s="177">
        <f t="shared" si="79"/>
        <v>37.676190476190477</v>
      </c>
      <c r="P44" s="183">
        <f>(BA42*BA44)/P42</f>
        <v>35.024000000000001</v>
      </c>
      <c r="Q44" s="177">
        <f>'2011'!AU44</f>
        <v>35.707865168539328</v>
      </c>
      <c r="R44" s="183">
        <f>(AX42*AX44)/R42</f>
        <v>31.028571428571428</v>
      </c>
      <c r="S44" s="177">
        <f t="shared" si="80"/>
        <v>26.0625</v>
      </c>
      <c r="T44" s="177">
        <f t="shared" si="81"/>
        <v>33.491150442477874</v>
      </c>
      <c r="U44" s="179">
        <f t="shared" si="82"/>
        <v>31.660894660894662</v>
      </c>
      <c r="V44" s="183">
        <f>(BJ42*BJ44)/V42</f>
        <v>20</v>
      </c>
      <c r="W44" s="177">
        <f t="shared" si="83"/>
        <v>29.030769230769231</v>
      </c>
      <c r="X44" s="183">
        <f>(BI42*BI44)/X42</f>
        <v>38.774193548387096</v>
      </c>
      <c r="Y44" s="183">
        <f>(BN42*BN44)/Y42</f>
        <v>37.455555555555556</v>
      </c>
      <c r="Z44" s="177">
        <f t="shared" si="84"/>
        <v>35.370892018779344</v>
      </c>
      <c r="AA44" s="183">
        <f>(BQ42*BQ44)/AA42</f>
        <v>44.323076923076925</v>
      </c>
      <c r="AB44" s="179">
        <f t="shared" si="85"/>
        <v>28.447154471544714</v>
      </c>
      <c r="AC44" s="177">
        <f t="shared" si="86"/>
        <v>26.7274678111588</v>
      </c>
      <c r="AD44" s="177">
        <f t="shared" si="87"/>
        <v>19.579234972677597</v>
      </c>
      <c r="AE44" s="183">
        <f>(BS42*BS44+BT42*BT44)/AE42</f>
        <v>23.110342369585876</v>
      </c>
      <c r="AF44" s="177">
        <f t="shared" si="88"/>
        <v>20.708791208791208</v>
      </c>
      <c r="AG44" s="177">
        <f t="shared" si="89"/>
        <v>17.052192066805844</v>
      </c>
      <c r="AH44" s="177">
        <f t="shared" si="90"/>
        <v>37.888412017167383</v>
      </c>
      <c r="AI44" s="177">
        <f t="shared" si="91"/>
        <v>23.063348416289593</v>
      </c>
      <c r="AJ44" s="177">
        <f t="shared" si="92"/>
        <v>38.884892086330936</v>
      </c>
      <c r="AK44" s="179">
        <f t="shared" si="93"/>
        <v>27.900269541778975</v>
      </c>
      <c r="AL44" s="177">
        <f t="shared" si="94"/>
        <v>41.829268292682926</v>
      </c>
      <c r="AM44" s="177">
        <f t="shared" si="95"/>
        <v>39.829571106094811</v>
      </c>
      <c r="AN44" s="177">
        <f t="shared" si="96"/>
        <v>42.115523465703973</v>
      </c>
      <c r="AO44" s="177">
        <f t="shared" si="97"/>
        <v>33.174089068825914</v>
      </c>
      <c r="AP44" s="177">
        <f t="shared" si="98"/>
        <v>40.024999999999999</v>
      </c>
      <c r="AQ44" s="177">
        <f t="shared" si="99"/>
        <v>34.277333333333331</v>
      </c>
      <c r="AR44" s="177">
        <f t="shared" si="100"/>
        <v>31.180473372781066</v>
      </c>
      <c r="AS44" s="184">
        <f>(CF42*CF44+CG42*CG44)/AS42</f>
        <v>32.728710565893984</v>
      </c>
      <c r="AT44" s="177" t="s">
        <v>252</v>
      </c>
      <c r="AU44" s="177">
        <f>AU42/AU123</f>
        <v>35.707865168539328</v>
      </c>
      <c r="AV44" s="177">
        <f>AV42/AV123</f>
        <v>26.0625</v>
      </c>
      <c r="AW44" s="177">
        <f>AW42/AW123</f>
        <v>34.313915857605181</v>
      </c>
      <c r="AX44" s="177">
        <f>AX42/AX123</f>
        <v>31.028571428571428</v>
      </c>
      <c r="AY44" s="177">
        <f>AY42/AY123</f>
        <v>27.760330578512395</v>
      </c>
      <c r="AZ44" s="177" t="s">
        <v>252</v>
      </c>
      <c r="BA44" s="177">
        <f t="shared" ref="BA44:BF44" si="101">BA42/BA123</f>
        <v>35.024000000000001</v>
      </c>
      <c r="BB44" s="177">
        <f t="shared" si="101"/>
        <v>33.491150442477874</v>
      </c>
      <c r="BC44" s="177">
        <f t="shared" si="101"/>
        <v>31.660894660894662</v>
      </c>
      <c r="BD44" s="177">
        <f t="shared" si="101"/>
        <v>27.291338582677167</v>
      </c>
      <c r="BE44" s="177">
        <f t="shared" si="101"/>
        <v>37.676190476190477</v>
      </c>
      <c r="BF44" s="179">
        <f t="shared" si="101"/>
        <v>33.651474530831102</v>
      </c>
      <c r="BG44" s="177" t="s">
        <v>61</v>
      </c>
      <c r="BH44" s="177" t="s">
        <v>252</v>
      </c>
      <c r="BI44" s="177">
        <f>BI42/BI123</f>
        <v>38.774193548387096</v>
      </c>
      <c r="BJ44" s="177">
        <f>BJ42/BJ123</f>
        <v>20</v>
      </c>
      <c r="BK44" s="177" t="s">
        <v>252</v>
      </c>
      <c r="BL44" s="177" t="s">
        <v>252</v>
      </c>
      <c r="BM44" s="177">
        <f>BM42/BM123</f>
        <v>35.370892018779344</v>
      </c>
      <c r="BN44" s="177">
        <f>BN42/BN123</f>
        <v>37.455555555555556</v>
      </c>
      <c r="BO44" s="177" t="s">
        <v>252</v>
      </c>
      <c r="BP44" s="177">
        <f t="shared" ref="BP44:CL44" si="102">BP42/BP123</f>
        <v>28.447154471544714</v>
      </c>
      <c r="BQ44" s="177">
        <f t="shared" si="102"/>
        <v>44.323076923076925</v>
      </c>
      <c r="BR44" s="179">
        <f t="shared" si="102"/>
        <v>29.030769230769231</v>
      </c>
      <c r="BS44" s="177">
        <f t="shared" si="102"/>
        <v>18.600000000000001</v>
      </c>
      <c r="BT44" s="177">
        <f t="shared" si="102"/>
        <v>23.151241534988714</v>
      </c>
      <c r="BU44" s="177">
        <f t="shared" si="102"/>
        <v>19.579234972677597</v>
      </c>
      <c r="BV44" s="177">
        <f t="shared" si="102"/>
        <v>17.052192066805844</v>
      </c>
      <c r="BW44" s="177">
        <f t="shared" si="102"/>
        <v>23.063348416289593</v>
      </c>
      <c r="BX44" s="177">
        <f t="shared" si="102"/>
        <v>26.7274678111588</v>
      </c>
      <c r="BY44" s="177">
        <f t="shared" si="102"/>
        <v>38.884892086330936</v>
      </c>
      <c r="BZ44" s="177">
        <f t="shared" si="102"/>
        <v>37.888412017167383</v>
      </c>
      <c r="CA44" s="177">
        <f t="shared" si="102"/>
        <v>20.708791208791208</v>
      </c>
      <c r="CB44" s="179">
        <f t="shared" si="102"/>
        <v>27.900269541778975</v>
      </c>
      <c r="CC44" s="177">
        <f t="shared" si="102"/>
        <v>33.174089068825914</v>
      </c>
      <c r="CD44" s="177">
        <f t="shared" si="102"/>
        <v>40.024999999999999</v>
      </c>
      <c r="CE44" s="177">
        <f t="shared" si="102"/>
        <v>41.829268292682926</v>
      </c>
      <c r="CF44" s="177">
        <f t="shared" si="102"/>
        <v>39.38095238095238</v>
      </c>
      <c r="CG44" s="177">
        <f t="shared" si="102"/>
        <v>32.430579964850615</v>
      </c>
      <c r="CH44" s="177">
        <f t="shared" si="102"/>
        <v>39.829571106094811</v>
      </c>
      <c r="CI44" s="177">
        <f t="shared" si="102"/>
        <v>31.180473372781066</v>
      </c>
      <c r="CJ44" s="177">
        <f t="shared" si="102"/>
        <v>42.115523465703973</v>
      </c>
      <c r="CK44" s="178">
        <f t="shared" si="102"/>
        <v>34.277333333333331</v>
      </c>
      <c r="CL44" s="180">
        <f t="shared" si="102"/>
        <v>32.83956921362919</v>
      </c>
    </row>
    <row r="45" spans="1:90">
      <c r="A45" s="93">
        <f>ROWS($A$3:A43)</f>
        <v>41</v>
      </c>
      <c r="B45" s="74" t="s">
        <v>79</v>
      </c>
      <c r="C45" s="287">
        <v>2010</v>
      </c>
      <c r="D45" s="342" t="s">
        <v>8</v>
      </c>
      <c r="E45" s="343">
        <v>40652</v>
      </c>
      <c r="F45" s="156">
        <v>1148077</v>
      </c>
      <c r="G45" s="177">
        <v>109564</v>
      </c>
      <c r="H45" s="177">
        <v>151726</v>
      </c>
      <c r="I45" s="178">
        <v>723432</v>
      </c>
      <c r="J45" s="181"/>
      <c r="K45" s="156">
        <f t="shared" si="75"/>
        <v>143135</v>
      </c>
      <c r="L45" s="177">
        <f t="shared" si="76"/>
        <v>16426</v>
      </c>
      <c r="M45" s="177">
        <f t="shared" si="77"/>
        <v>150540</v>
      </c>
      <c r="N45" s="177">
        <f t="shared" si="78"/>
        <v>25725</v>
      </c>
      <c r="O45" s="177">
        <f t="shared" si="79"/>
        <v>49736</v>
      </c>
      <c r="P45" s="177">
        <f>'2011'!AZ45+'2011'!BA45</f>
        <v>35071</v>
      </c>
      <c r="Q45" s="177">
        <f>'2011'!AU45</f>
        <v>21372</v>
      </c>
      <c r="R45" s="177">
        <f>AX45</f>
        <v>42652</v>
      </c>
      <c r="S45" s="177">
        <f t="shared" si="80"/>
        <v>7266</v>
      </c>
      <c r="T45" s="177">
        <f t="shared" si="81"/>
        <v>180470</v>
      </c>
      <c r="U45" s="179">
        <f t="shared" si="82"/>
        <v>475187</v>
      </c>
      <c r="V45" s="177">
        <f>BG45+BJ45</f>
        <v>7039</v>
      </c>
      <c r="W45" s="177">
        <f t="shared" si="83"/>
        <v>14067</v>
      </c>
      <c r="X45" s="177">
        <f>BH45+BI45</f>
        <v>7841</v>
      </c>
      <c r="Y45" s="177">
        <f>BN45</f>
        <v>27263</v>
      </c>
      <c r="Z45" s="177">
        <f t="shared" si="84"/>
        <v>37706</v>
      </c>
      <c r="AA45" s="177">
        <f>BO45+BQ45</f>
        <v>7823</v>
      </c>
      <c r="AB45" s="179">
        <f t="shared" si="85"/>
        <v>6980</v>
      </c>
      <c r="AC45" s="177">
        <f t="shared" si="86"/>
        <v>22148</v>
      </c>
      <c r="AD45" s="177">
        <f t="shared" si="87"/>
        <v>5024</v>
      </c>
      <c r="AE45" s="177">
        <f>BS45+BT45</f>
        <v>8955</v>
      </c>
      <c r="AF45" s="177">
        <f t="shared" si="88"/>
        <v>3562</v>
      </c>
      <c r="AG45" s="177">
        <f t="shared" si="89"/>
        <v>30888</v>
      </c>
      <c r="AH45" s="177">
        <f t="shared" si="90"/>
        <v>18417</v>
      </c>
      <c r="AI45" s="177">
        <f t="shared" si="91"/>
        <v>38725</v>
      </c>
      <c r="AJ45" s="177">
        <f t="shared" si="92"/>
        <v>10936</v>
      </c>
      <c r="AK45" s="179">
        <f t="shared" si="93"/>
        <v>13071</v>
      </c>
      <c r="AL45" s="177">
        <f t="shared" si="94"/>
        <v>9721</v>
      </c>
      <c r="AM45" s="177">
        <f t="shared" si="95"/>
        <v>173896</v>
      </c>
      <c r="AN45" s="177">
        <f t="shared" si="96"/>
        <v>56880</v>
      </c>
      <c r="AO45" s="177">
        <f t="shared" si="97"/>
        <v>30040</v>
      </c>
      <c r="AP45" s="177">
        <f t="shared" si="98"/>
        <v>17102</v>
      </c>
      <c r="AQ45" s="177">
        <f t="shared" si="99"/>
        <v>107463</v>
      </c>
      <c r="AR45" s="177">
        <f t="shared" si="100"/>
        <v>20295</v>
      </c>
      <c r="AS45" s="178">
        <f>CF45+CG45</f>
        <v>308035</v>
      </c>
      <c r="AT45" s="177">
        <v>0</v>
      </c>
      <c r="AU45" s="177">
        <v>21372</v>
      </c>
      <c r="AV45" s="177">
        <v>7266</v>
      </c>
      <c r="AW45" s="177">
        <v>25725</v>
      </c>
      <c r="AX45" s="177">
        <v>42652</v>
      </c>
      <c r="AY45" s="177">
        <v>16426</v>
      </c>
      <c r="AZ45" s="177">
        <v>0</v>
      </c>
      <c r="BA45" s="177">
        <v>35071</v>
      </c>
      <c r="BB45" s="177">
        <v>180470</v>
      </c>
      <c r="BC45" s="177">
        <v>475187</v>
      </c>
      <c r="BD45" s="177">
        <v>150540</v>
      </c>
      <c r="BE45" s="177">
        <v>49736</v>
      </c>
      <c r="BF45" s="179">
        <v>143135</v>
      </c>
      <c r="BG45" s="177">
        <v>0</v>
      </c>
      <c r="BH45" s="177">
        <v>1211</v>
      </c>
      <c r="BI45" s="177">
        <v>6630</v>
      </c>
      <c r="BJ45" s="177">
        <v>7039</v>
      </c>
      <c r="BK45" s="177">
        <v>765</v>
      </c>
      <c r="BL45" s="177" t="s">
        <v>252</v>
      </c>
      <c r="BM45" s="177">
        <v>37706</v>
      </c>
      <c r="BN45" s="177">
        <v>27263</v>
      </c>
      <c r="BO45" s="177">
        <v>95</v>
      </c>
      <c r="BP45" s="177">
        <v>6980</v>
      </c>
      <c r="BQ45" s="177">
        <v>7728</v>
      </c>
      <c r="BR45" s="179">
        <v>14067</v>
      </c>
      <c r="BS45" s="177">
        <v>400</v>
      </c>
      <c r="BT45" s="177">
        <v>8555</v>
      </c>
      <c r="BU45" s="177">
        <v>5024</v>
      </c>
      <c r="BV45" s="177">
        <v>30888</v>
      </c>
      <c r="BW45" s="177">
        <v>38725</v>
      </c>
      <c r="BX45" s="177">
        <v>22148</v>
      </c>
      <c r="BY45" s="177">
        <v>10936</v>
      </c>
      <c r="BZ45" s="177">
        <v>18417</v>
      </c>
      <c r="CA45" s="177">
        <v>3562</v>
      </c>
      <c r="CB45" s="179">
        <v>13071</v>
      </c>
      <c r="CC45" s="177">
        <v>30040</v>
      </c>
      <c r="CD45" s="177">
        <v>17102</v>
      </c>
      <c r="CE45" s="177">
        <v>9721</v>
      </c>
      <c r="CF45" s="177">
        <v>19867</v>
      </c>
      <c r="CG45" s="177">
        <v>288168</v>
      </c>
      <c r="CH45" s="177">
        <v>173896</v>
      </c>
      <c r="CI45" s="177">
        <v>20295</v>
      </c>
      <c r="CJ45" s="177">
        <v>56880</v>
      </c>
      <c r="CK45" s="178">
        <v>107463</v>
      </c>
      <c r="CL45" s="180">
        <v>2132799</v>
      </c>
    </row>
    <row r="46" spans="1:90">
      <c r="A46" s="93">
        <f>ROWS($A$3:A44)</f>
        <v>42</v>
      </c>
      <c r="B46" s="74" t="s">
        <v>9</v>
      </c>
      <c r="C46" s="288"/>
      <c r="D46" s="342" t="s">
        <v>8</v>
      </c>
      <c r="E46" s="343">
        <v>40652</v>
      </c>
      <c r="F46" s="156">
        <v>138422</v>
      </c>
      <c r="G46" s="177">
        <v>8774</v>
      </c>
      <c r="H46" s="177">
        <v>13335</v>
      </c>
      <c r="I46" s="178">
        <v>71363</v>
      </c>
      <c r="J46" s="181"/>
      <c r="K46" s="156">
        <f t="shared" si="75"/>
        <v>19542</v>
      </c>
      <c r="L46" s="177" t="str">
        <f t="shared" si="76"/>
        <v>*</v>
      </c>
      <c r="M46" s="177">
        <f t="shared" si="77"/>
        <v>19664</v>
      </c>
      <c r="N46" s="177">
        <f t="shared" si="78"/>
        <v>1477</v>
      </c>
      <c r="O46" s="177">
        <f t="shared" si="79"/>
        <v>4383</v>
      </c>
      <c r="P46" s="177">
        <f>'2011'!AZ46+'2011'!BA46</f>
        <v>3335</v>
      </c>
      <c r="Q46" s="177">
        <f>'2011'!AU46</f>
        <v>2233</v>
      </c>
      <c r="R46" s="177">
        <f>AX46</f>
        <v>2945</v>
      </c>
      <c r="S46" s="177" t="str">
        <f t="shared" si="80"/>
        <v>*</v>
      </c>
      <c r="T46" s="177">
        <f t="shared" si="81"/>
        <v>24236</v>
      </c>
      <c r="U46" s="179">
        <f t="shared" si="82"/>
        <v>58271</v>
      </c>
      <c r="V46" s="177">
        <f>BJ46</f>
        <v>532</v>
      </c>
      <c r="W46" s="177">
        <f t="shared" si="83"/>
        <v>1444</v>
      </c>
      <c r="X46" s="177">
        <f>BI46</f>
        <v>180</v>
      </c>
      <c r="Y46" s="177">
        <f>BL46+BN46</f>
        <v>1863</v>
      </c>
      <c r="Z46" s="177">
        <f t="shared" si="84"/>
        <v>2878</v>
      </c>
      <c r="AA46" s="177" t="str">
        <f>BQ46</f>
        <v>*</v>
      </c>
      <c r="AB46" s="179">
        <f t="shared" si="85"/>
        <v>466</v>
      </c>
      <c r="AC46" s="177">
        <f t="shared" si="86"/>
        <v>1634</v>
      </c>
      <c r="AD46" s="177">
        <f t="shared" si="87"/>
        <v>471</v>
      </c>
      <c r="AE46" s="177">
        <f>BS46+BT46</f>
        <v>692</v>
      </c>
      <c r="AF46" s="177">
        <f t="shared" si="88"/>
        <v>190</v>
      </c>
      <c r="AG46" s="177">
        <f t="shared" si="89"/>
        <v>3655</v>
      </c>
      <c r="AH46" s="177">
        <f t="shared" si="90"/>
        <v>1386</v>
      </c>
      <c r="AI46" s="177">
        <f t="shared" si="91"/>
        <v>2660</v>
      </c>
      <c r="AJ46" s="177">
        <f t="shared" si="92"/>
        <v>1032</v>
      </c>
      <c r="AK46" s="179">
        <f t="shared" si="93"/>
        <v>1615</v>
      </c>
      <c r="AL46" s="177">
        <f t="shared" si="94"/>
        <v>778</v>
      </c>
      <c r="AM46" s="177">
        <f t="shared" si="95"/>
        <v>17329</v>
      </c>
      <c r="AN46" s="177">
        <f t="shared" si="96"/>
        <v>6991</v>
      </c>
      <c r="AO46" s="177">
        <f t="shared" si="97"/>
        <v>3831</v>
      </c>
      <c r="AP46" s="177">
        <f t="shared" si="98"/>
        <v>941</v>
      </c>
      <c r="AQ46" s="177">
        <f t="shared" si="99"/>
        <v>10639</v>
      </c>
      <c r="AR46" s="177">
        <f t="shared" si="100"/>
        <v>1591</v>
      </c>
      <c r="AS46" s="178">
        <f>CF46+CG46</f>
        <v>29263</v>
      </c>
      <c r="AT46" s="177">
        <v>0</v>
      </c>
      <c r="AU46" s="177">
        <v>2233</v>
      </c>
      <c r="AV46" s="177" t="s">
        <v>252</v>
      </c>
      <c r="AW46" s="177">
        <v>1477</v>
      </c>
      <c r="AX46" s="177">
        <v>2945</v>
      </c>
      <c r="AY46" s="177" t="s">
        <v>252</v>
      </c>
      <c r="AZ46" s="177">
        <v>0</v>
      </c>
      <c r="BA46" s="177">
        <v>3335</v>
      </c>
      <c r="BB46" s="177">
        <v>24236</v>
      </c>
      <c r="BC46" s="177">
        <v>58271</v>
      </c>
      <c r="BD46" s="177">
        <v>19664</v>
      </c>
      <c r="BE46" s="177">
        <v>4383</v>
      </c>
      <c r="BF46" s="179">
        <v>19542</v>
      </c>
      <c r="BG46" s="177" t="s">
        <v>252</v>
      </c>
      <c r="BH46" s="177" t="s">
        <v>252</v>
      </c>
      <c r="BI46" s="177">
        <v>180</v>
      </c>
      <c r="BJ46" s="177">
        <v>532</v>
      </c>
      <c r="BK46" s="177" t="s">
        <v>252</v>
      </c>
      <c r="BL46" s="177">
        <v>0</v>
      </c>
      <c r="BM46" s="177">
        <v>2878</v>
      </c>
      <c r="BN46" s="177">
        <v>1863</v>
      </c>
      <c r="BO46" s="177" t="s">
        <v>252</v>
      </c>
      <c r="BP46" s="177">
        <v>466</v>
      </c>
      <c r="BQ46" s="177" t="s">
        <v>252</v>
      </c>
      <c r="BR46" s="179">
        <v>1444</v>
      </c>
      <c r="BS46" s="177">
        <v>83</v>
      </c>
      <c r="BT46" s="177">
        <v>609</v>
      </c>
      <c r="BU46" s="177">
        <v>471</v>
      </c>
      <c r="BV46" s="177">
        <v>3655</v>
      </c>
      <c r="BW46" s="177">
        <v>2660</v>
      </c>
      <c r="BX46" s="177">
        <v>1634</v>
      </c>
      <c r="BY46" s="177">
        <v>1032</v>
      </c>
      <c r="BZ46" s="177">
        <v>1386</v>
      </c>
      <c r="CA46" s="177">
        <v>190</v>
      </c>
      <c r="CB46" s="179">
        <v>1615</v>
      </c>
      <c r="CC46" s="177">
        <v>3831</v>
      </c>
      <c r="CD46" s="177">
        <v>941</v>
      </c>
      <c r="CE46" s="177">
        <v>778</v>
      </c>
      <c r="CF46" s="177">
        <v>1439</v>
      </c>
      <c r="CG46" s="177">
        <v>27824</v>
      </c>
      <c r="CH46" s="177">
        <v>17329</v>
      </c>
      <c r="CI46" s="177">
        <v>1591</v>
      </c>
      <c r="CJ46" s="177">
        <v>6991</v>
      </c>
      <c r="CK46" s="178">
        <v>10639</v>
      </c>
      <c r="CL46" s="180">
        <v>231894</v>
      </c>
    </row>
    <row r="47" spans="1:90">
      <c r="A47" s="93">
        <f>ROWS($A$3:A45)</f>
        <v>43</v>
      </c>
      <c r="B47" s="75" t="s">
        <v>20</v>
      </c>
      <c r="C47" s="345"/>
      <c r="D47" s="342" t="s">
        <v>260</v>
      </c>
      <c r="E47" s="343">
        <v>40652</v>
      </c>
      <c r="F47" s="156">
        <f>F125/F124</f>
        <v>174.11972065181243</v>
      </c>
      <c r="G47" s="177">
        <f>G125/G124</f>
        <v>101.33630952380952</v>
      </c>
      <c r="H47" s="177">
        <f>H125/H124</f>
        <v>48.009674134419555</v>
      </c>
      <c r="I47" s="178">
        <f>I125/I124</f>
        <v>168.79459002535927</v>
      </c>
      <c r="J47" s="181"/>
      <c r="K47" s="156">
        <f t="shared" si="75"/>
        <v>112.86274509803921</v>
      </c>
      <c r="L47" s="177">
        <f t="shared" si="76"/>
        <v>73.268656716417908</v>
      </c>
      <c r="M47" s="177">
        <f t="shared" si="77"/>
        <v>139.1906976744186</v>
      </c>
      <c r="N47" s="177">
        <f t="shared" si="78"/>
        <v>127.40163934426229</v>
      </c>
      <c r="O47" s="177">
        <f t="shared" si="79"/>
        <v>186.52071005917159</v>
      </c>
      <c r="P47" s="183">
        <v>100</v>
      </c>
      <c r="Q47" s="177">
        <f>'2011'!AU47</f>
        <v>143.6</v>
      </c>
      <c r="R47" s="183">
        <f>(AX45*AX47)/R45</f>
        <v>215.48872180451127</v>
      </c>
      <c r="S47" s="177">
        <f t="shared" si="80"/>
        <v>65.145161290322577</v>
      </c>
      <c r="T47" s="177">
        <f t="shared" si="81"/>
        <v>216.87465181058496</v>
      </c>
      <c r="U47" s="179">
        <f t="shared" si="82"/>
        <v>227.08178844056707</v>
      </c>
      <c r="V47" s="183">
        <v>60</v>
      </c>
      <c r="W47" s="177">
        <f t="shared" si="83"/>
        <v>69.509433962264154</v>
      </c>
      <c r="X47" s="183">
        <f>(BH45*BH47+BI45*BI47)/X45</f>
        <v>92.466251115929097</v>
      </c>
      <c r="Y47" s="183">
        <v>87</v>
      </c>
      <c r="Z47" s="177">
        <f t="shared" si="84"/>
        <v>147.13186813186815</v>
      </c>
      <c r="AA47" s="183">
        <v>49</v>
      </c>
      <c r="AB47" s="179">
        <f t="shared" si="85"/>
        <v>44.670329670329672</v>
      </c>
      <c r="AC47" s="177">
        <f t="shared" si="86"/>
        <v>55.530364372469634</v>
      </c>
      <c r="AD47" s="177">
        <f t="shared" si="87"/>
        <v>22.611111111111111</v>
      </c>
      <c r="AE47" s="183">
        <f>(BS45*BS47+BT45*BT47)/AE45</f>
        <v>21.937068584681651</v>
      </c>
      <c r="AF47" s="177">
        <f t="shared" si="88"/>
        <v>28.010416666666668</v>
      </c>
      <c r="AG47" s="177">
        <f t="shared" si="89"/>
        <v>31.215291750503017</v>
      </c>
      <c r="AH47" s="177">
        <f t="shared" si="90"/>
        <v>101.36134453781513</v>
      </c>
      <c r="AI47" s="177">
        <f t="shared" si="91"/>
        <v>116.59641255605381</v>
      </c>
      <c r="AJ47" s="177">
        <f t="shared" si="92"/>
        <v>69.136842105263156</v>
      </c>
      <c r="AK47" s="179">
        <f t="shared" si="93"/>
        <v>33.845794392523366</v>
      </c>
      <c r="AL47" s="177">
        <f t="shared" si="94"/>
        <v>74.096385542168676</v>
      </c>
      <c r="AM47" s="177">
        <f t="shared" si="95"/>
        <v>197.72</v>
      </c>
      <c r="AN47" s="177">
        <f t="shared" si="96"/>
        <v>117.89873417721519</v>
      </c>
      <c r="AO47" s="177">
        <f t="shared" si="97"/>
        <v>68.572727272727278</v>
      </c>
      <c r="AP47" s="177">
        <f t="shared" si="98"/>
        <v>154.06153846153848</v>
      </c>
      <c r="AQ47" s="177">
        <f t="shared" si="99"/>
        <v>150.2755905511811</v>
      </c>
      <c r="AR47" s="177">
        <f t="shared" si="100"/>
        <v>113.36974789915966</v>
      </c>
      <c r="AS47" s="184">
        <f>(CF45*CF47+CG45*CG47)/AS45</f>
        <v>229.46243470402328</v>
      </c>
      <c r="AT47" s="177" t="s">
        <v>61</v>
      </c>
      <c r="AU47" s="177">
        <f t="shared" ref="AU47:CJ47" si="103">AU125/AU124</f>
        <v>143.6</v>
      </c>
      <c r="AV47" s="177">
        <f t="shared" si="103"/>
        <v>65.145161290322577</v>
      </c>
      <c r="AW47" s="177">
        <f t="shared" si="103"/>
        <v>127.40163934426229</v>
      </c>
      <c r="AX47" s="177">
        <f t="shared" si="103"/>
        <v>215.48872180451127</v>
      </c>
      <c r="AY47" s="177">
        <f t="shared" si="103"/>
        <v>73.268656716417908</v>
      </c>
      <c r="AZ47" s="177" t="s">
        <v>61</v>
      </c>
      <c r="BA47" s="177">
        <f t="shared" si="103"/>
        <v>177.03007518796991</v>
      </c>
      <c r="BB47" s="177">
        <f t="shared" si="103"/>
        <v>216.87465181058496</v>
      </c>
      <c r="BC47" s="177">
        <f t="shared" si="103"/>
        <v>227.08178844056707</v>
      </c>
      <c r="BD47" s="177">
        <f t="shared" si="103"/>
        <v>139.1906976744186</v>
      </c>
      <c r="BE47" s="177">
        <f t="shared" si="103"/>
        <v>186.52071005917159</v>
      </c>
      <c r="BF47" s="179">
        <f t="shared" si="103"/>
        <v>112.86274509803921</v>
      </c>
      <c r="BG47" s="177" t="s">
        <v>61</v>
      </c>
      <c r="BH47" s="177">
        <f t="shared" si="103"/>
        <v>99.125</v>
      </c>
      <c r="BI47" s="177">
        <f t="shared" si="103"/>
        <v>91.25</v>
      </c>
      <c r="BJ47" s="177">
        <f t="shared" si="103"/>
        <v>90.093023255813947</v>
      </c>
      <c r="BK47" s="177">
        <f t="shared" si="103"/>
        <v>63</v>
      </c>
      <c r="BL47" s="177" t="s">
        <v>61</v>
      </c>
      <c r="BM47" s="177">
        <f t="shared" si="103"/>
        <v>147.13186813186815</v>
      </c>
      <c r="BN47" s="177">
        <f t="shared" si="103"/>
        <v>131.62727272727273</v>
      </c>
      <c r="BO47" s="177" t="s">
        <v>61</v>
      </c>
      <c r="BP47" s="177">
        <f t="shared" si="103"/>
        <v>44.670329670329672</v>
      </c>
      <c r="BQ47" s="177">
        <f t="shared" si="103"/>
        <v>85.91379310344827</v>
      </c>
      <c r="BR47" s="179">
        <f t="shared" si="103"/>
        <v>69.509433962264154</v>
      </c>
      <c r="BS47" s="177">
        <f t="shared" si="103"/>
        <v>17.153846153846153</v>
      </c>
      <c r="BT47" s="177">
        <f t="shared" si="103"/>
        <v>22.160714285714285</v>
      </c>
      <c r="BU47" s="177">
        <f t="shared" si="103"/>
        <v>22.611111111111111</v>
      </c>
      <c r="BV47" s="177">
        <f t="shared" si="103"/>
        <v>31.215291750503017</v>
      </c>
      <c r="BW47" s="177">
        <f t="shared" si="103"/>
        <v>116.59641255605381</v>
      </c>
      <c r="BX47" s="177">
        <f t="shared" si="103"/>
        <v>55.530364372469634</v>
      </c>
      <c r="BY47" s="177">
        <f t="shared" si="103"/>
        <v>69.136842105263156</v>
      </c>
      <c r="BZ47" s="177">
        <f t="shared" si="103"/>
        <v>101.36134453781513</v>
      </c>
      <c r="CA47" s="177">
        <f t="shared" si="103"/>
        <v>28.010416666666668</v>
      </c>
      <c r="CB47" s="179">
        <f t="shared" si="103"/>
        <v>33.845794392523366</v>
      </c>
      <c r="CC47" s="177">
        <f t="shared" si="103"/>
        <v>68.572727272727278</v>
      </c>
      <c r="CD47" s="177">
        <f t="shared" si="103"/>
        <v>154.06153846153848</v>
      </c>
      <c r="CE47" s="177">
        <f t="shared" si="103"/>
        <v>74.096385542168676</v>
      </c>
      <c r="CF47" s="177">
        <f t="shared" si="103"/>
        <v>428.06666666666666</v>
      </c>
      <c r="CG47" s="177">
        <f t="shared" si="103"/>
        <v>215.7701778385773</v>
      </c>
      <c r="CH47" s="177">
        <f t="shared" si="103"/>
        <v>197.72</v>
      </c>
      <c r="CI47" s="177">
        <f t="shared" si="103"/>
        <v>113.36974789915966</v>
      </c>
      <c r="CJ47" s="177">
        <f t="shared" si="103"/>
        <v>117.89873417721519</v>
      </c>
      <c r="CK47" s="178">
        <f>CK125/CK124</f>
        <v>150.2755905511811</v>
      </c>
      <c r="CL47" s="180">
        <f>CL125/CL124</f>
        <v>135.51442127606444</v>
      </c>
    </row>
    <row r="48" spans="1:90">
      <c r="A48" s="93">
        <f>ROWS($A$3:A46)</f>
        <v>44</v>
      </c>
      <c r="B48" s="124" t="s">
        <v>258</v>
      </c>
      <c r="C48" s="287">
        <v>2010</v>
      </c>
      <c r="D48" s="342" t="s">
        <v>8</v>
      </c>
      <c r="E48" s="343">
        <v>40652</v>
      </c>
      <c r="F48" s="156">
        <v>18657</v>
      </c>
      <c r="G48" s="177">
        <v>11690</v>
      </c>
      <c r="H48" s="177">
        <v>13322</v>
      </c>
      <c r="I48" s="178">
        <v>16072</v>
      </c>
      <c r="J48" s="181"/>
      <c r="K48" s="156">
        <f t="shared" si="75"/>
        <v>3102</v>
      </c>
      <c r="L48" s="177">
        <f t="shared" si="76"/>
        <v>1882</v>
      </c>
      <c r="M48" s="177">
        <f t="shared" si="77"/>
        <v>817</v>
      </c>
      <c r="N48" s="177">
        <f t="shared" si="78"/>
        <v>1667</v>
      </c>
      <c r="O48" s="177">
        <f t="shared" si="79"/>
        <v>739</v>
      </c>
      <c r="P48" s="177">
        <f>'2011'!AZ48+'2011'!BA48</f>
        <v>1429</v>
      </c>
      <c r="Q48" s="177">
        <f>'2011'!AU48</f>
        <v>2195</v>
      </c>
      <c r="R48" s="177">
        <f>AT48+AX48</f>
        <v>2352</v>
      </c>
      <c r="S48" s="177">
        <f t="shared" si="80"/>
        <v>2310</v>
      </c>
      <c r="T48" s="177">
        <f t="shared" si="81"/>
        <v>715</v>
      </c>
      <c r="U48" s="179">
        <f t="shared" si="82"/>
        <v>1449</v>
      </c>
      <c r="V48" s="177">
        <f>BG48+BJ48</f>
        <v>823</v>
      </c>
      <c r="W48" s="177">
        <f t="shared" si="83"/>
        <v>919</v>
      </c>
      <c r="X48" s="177">
        <f>BH48+BI48</f>
        <v>2585</v>
      </c>
      <c r="Y48" s="177">
        <f>BK48+BL48+BN48</f>
        <v>2816</v>
      </c>
      <c r="Z48" s="177">
        <f t="shared" si="84"/>
        <v>1619</v>
      </c>
      <c r="AA48" s="177">
        <f>BO48+BQ48</f>
        <v>1517</v>
      </c>
      <c r="AB48" s="179">
        <f t="shared" si="85"/>
        <v>1411</v>
      </c>
      <c r="AC48" s="177">
        <f t="shared" si="86"/>
        <v>1145</v>
      </c>
      <c r="AD48" s="177">
        <f t="shared" si="87"/>
        <v>998</v>
      </c>
      <c r="AE48" s="177">
        <f>BS48+BT48</f>
        <v>2422</v>
      </c>
      <c r="AF48" s="177">
        <f t="shared" si="88"/>
        <v>1691</v>
      </c>
      <c r="AG48" s="177">
        <f t="shared" si="89"/>
        <v>1682</v>
      </c>
      <c r="AH48" s="177">
        <f t="shared" si="90"/>
        <v>1607</v>
      </c>
      <c r="AI48" s="177">
        <f t="shared" si="91"/>
        <v>906</v>
      </c>
      <c r="AJ48" s="177">
        <f t="shared" si="92"/>
        <v>688</v>
      </c>
      <c r="AK48" s="179">
        <f t="shared" si="93"/>
        <v>2183</v>
      </c>
      <c r="AL48" s="177">
        <f t="shared" si="94"/>
        <v>1639</v>
      </c>
      <c r="AM48" s="177">
        <f t="shared" si="95"/>
        <v>2054</v>
      </c>
      <c r="AN48" s="177">
        <f t="shared" si="96"/>
        <v>3481</v>
      </c>
      <c r="AO48" s="177">
        <f t="shared" si="97"/>
        <v>2729</v>
      </c>
      <c r="AP48" s="177">
        <f t="shared" si="98"/>
        <v>920</v>
      </c>
      <c r="AQ48" s="177">
        <f t="shared" si="99"/>
        <v>1506</v>
      </c>
      <c r="AR48" s="177">
        <f t="shared" si="100"/>
        <v>1586</v>
      </c>
      <c r="AS48" s="178">
        <f>CF48+CG48</f>
        <v>2157</v>
      </c>
      <c r="AT48" s="177">
        <v>176</v>
      </c>
      <c r="AU48" s="177">
        <v>2195</v>
      </c>
      <c r="AV48" s="177">
        <v>2310</v>
      </c>
      <c r="AW48" s="177">
        <v>1667</v>
      </c>
      <c r="AX48" s="177">
        <v>2176</v>
      </c>
      <c r="AY48" s="177">
        <v>1882</v>
      </c>
      <c r="AZ48" s="177">
        <v>55</v>
      </c>
      <c r="BA48" s="177">
        <v>1374</v>
      </c>
      <c r="BB48" s="177">
        <v>715</v>
      </c>
      <c r="BC48" s="177">
        <v>1449</v>
      </c>
      <c r="BD48" s="177">
        <v>817</v>
      </c>
      <c r="BE48" s="177">
        <v>739</v>
      </c>
      <c r="BF48" s="179">
        <v>3102</v>
      </c>
      <c r="BG48" s="177">
        <v>50</v>
      </c>
      <c r="BH48" s="177">
        <v>168</v>
      </c>
      <c r="BI48" s="177">
        <v>2417</v>
      </c>
      <c r="BJ48" s="177">
        <v>773</v>
      </c>
      <c r="BK48" s="177">
        <v>116</v>
      </c>
      <c r="BL48" s="177">
        <v>469</v>
      </c>
      <c r="BM48" s="177">
        <v>1619</v>
      </c>
      <c r="BN48" s="177">
        <v>2231</v>
      </c>
      <c r="BO48" s="177">
        <v>95</v>
      </c>
      <c r="BP48" s="177">
        <v>1411</v>
      </c>
      <c r="BQ48" s="177">
        <v>1422</v>
      </c>
      <c r="BR48" s="179">
        <v>919</v>
      </c>
      <c r="BS48" s="177">
        <v>249</v>
      </c>
      <c r="BT48" s="177">
        <v>2173</v>
      </c>
      <c r="BU48" s="177">
        <v>998</v>
      </c>
      <c r="BV48" s="177">
        <v>1682</v>
      </c>
      <c r="BW48" s="177">
        <v>906</v>
      </c>
      <c r="BX48" s="177">
        <v>1145</v>
      </c>
      <c r="BY48" s="177">
        <v>688</v>
      </c>
      <c r="BZ48" s="177">
        <v>1607</v>
      </c>
      <c r="CA48" s="177">
        <v>1691</v>
      </c>
      <c r="CB48" s="179">
        <v>2183</v>
      </c>
      <c r="CC48" s="177">
        <v>2729</v>
      </c>
      <c r="CD48" s="177">
        <v>920</v>
      </c>
      <c r="CE48" s="177">
        <v>1639</v>
      </c>
      <c r="CF48" s="177">
        <v>220</v>
      </c>
      <c r="CG48" s="177">
        <v>1937</v>
      </c>
      <c r="CH48" s="177">
        <v>2054</v>
      </c>
      <c r="CI48" s="177">
        <v>1586</v>
      </c>
      <c r="CJ48" s="177">
        <v>3481</v>
      </c>
      <c r="CK48" s="178">
        <v>1506</v>
      </c>
      <c r="CL48" s="180">
        <v>59741</v>
      </c>
    </row>
    <row r="49" spans="1:90">
      <c r="A49" s="93">
        <f>ROWS($A$3:A47)</f>
        <v>45</v>
      </c>
      <c r="B49" s="74" t="s">
        <v>80</v>
      </c>
      <c r="C49" s="287">
        <v>2010</v>
      </c>
      <c r="D49" s="342" t="s">
        <v>8</v>
      </c>
      <c r="E49" s="343">
        <v>40652</v>
      </c>
      <c r="F49" s="156">
        <v>89942</v>
      </c>
      <c r="G49" s="177">
        <v>37333</v>
      </c>
      <c r="H49" s="177">
        <v>58301</v>
      </c>
      <c r="I49" s="178">
        <v>80552</v>
      </c>
      <c r="J49" s="181"/>
      <c r="K49" s="156">
        <f t="shared" si="75"/>
        <v>11026</v>
      </c>
      <c r="L49" s="177">
        <f t="shared" si="76"/>
        <v>7998</v>
      </c>
      <c r="M49" s="177">
        <f t="shared" si="77"/>
        <v>3629</v>
      </c>
      <c r="N49" s="177">
        <f t="shared" si="78"/>
        <v>11011</v>
      </c>
      <c r="O49" s="177">
        <f t="shared" si="79"/>
        <v>9759</v>
      </c>
      <c r="P49" s="177">
        <f>'2011'!AZ49+'2011'!BA49</f>
        <v>8316</v>
      </c>
      <c r="Q49" s="177">
        <f>'2011'!AU49</f>
        <v>5002</v>
      </c>
      <c r="R49" s="177">
        <f>AT49+AX49</f>
        <v>3480</v>
      </c>
      <c r="S49" s="177">
        <f t="shared" si="80"/>
        <v>12878</v>
      </c>
      <c r="T49" s="177">
        <f t="shared" si="81"/>
        <v>6146</v>
      </c>
      <c r="U49" s="179">
        <f t="shared" si="82"/>
        <v>11329</v>
      </c>
      <c r="V49" s="177">
        <f>BG49+BJ49</f>
        <v>4079</v>
      </c>
      <c r="W49" s="177">
        <f t="shared" si="83"/>
        <v>8075</v>
      </c>
      <c r="X49" s="177">
        <f>BH49+BI49</f>
        <v>5162</v>
      </c>
      <c r="Y49" s="177">
        <f>BN49</f>
        <v>4778</v>
      </c>
      <c r="Z49" s="177">
        <f t="shared" si="84"/>
        <v>2872</v>
      </c>
      <c r="AA49" s="177">
        <f>BQ49</f>
        <v>1648</v>
      </c>
      <c r="AB49" s="179">
        <f t="shared" si="85"/>
        <v>9701</v>
      </c>
      <c r="AC49" s="177">
        <f t="shared" si="86"/>
        <v>3492</v>
      </c>
      <c r="AD49" s="177">
        <f t="shared" si="87"/>
        <v>2712</v>
      </c>
      <c r="AE49" s="177">
        <f>BS49+BT49</f>
        <v>9536</v>
      </c>
      <c r="AF49" s="177">
        <f t="shared" si="88"/>
        <v>4480</v>
      </c>
      <c r="AG49" s="177">
        <f t="shared" si="89"/>
        <v>5909</v>
      </c>
      <c r="AH49" s="177">
        <f t="shared" si="90"/>
        <v>4775</v>
      </c>
      <c r="AI49" s="177">
        <f t="shared" si="91"/>
        <v>7827</v>
      </c>
      <c r="AJ49" s="177">
        <f t="shared" si="92"/>
        <v>4733</v>
      </c>
      <c r="AK49" s="179">
        <f t="shared" si="93"/>
        <v>5174</v>
      </c>
      <c r="AL49" s="177">
        <f t="shared" si="94"/>
        <v>16486</v>
      </c>
      <c r="AM49" s="177">
        <f t="shared" si="95"/>
        <v>4167</v>
      </c>
      <c r="AN49" s="177">
        <f t="shared" si="96"/>
        <v>5606</v>
      </c>
      <c r="AO49" s="177">
        <f t="shared" si="97"/>
        <v>20120</v>
      </c>
      <c r="AP49" s="177" t="str">
        <f t="shared" si="98"/>
        <v>*</v>
      </c>
      <c r="AQ49" s="177">
        <f t="shared" si="99"/>
        <v>4076</v>
      </c>
      <c r="AR49" s="177">
        <f t="shared" si="100"/>
        <v>4623</v>
      </c>
      <c r="AS49" s="178">
        <f>CG49</f>
        <v>10366</v>
      </c>
      <c r="AT49" s="177">
        <v>387</v>
      </c>
      <c r="AU49" s="177">
        <v>5002</v>
      </c>
      <c r="AV49" s="177">
        <v>12878</v>
      </c>
      <c r="AW49" s="177">
        <v>11011</v>
      </c>
      <c r="AX49" s="177">
        <v>3093</v>
      </c>
      <c r="AY49" s="177">
        <v>7998</v>
      </c>
      <c r="AZ49" s="177">
        <v>0</v>
      </c>
      <c r="BA49" s="177">
        <v>8316</v>
      </c>
      <c r="BB49" s="177">
        <v>6146</v>
      </c>
      <c r="BC49" s="177">
        <v>11329</v>
      </c>
      <c r="BD49" s="177">
        <v>3629</v>
      </c>
      <c r="BE49" s="177">
        <v>9759</v>
      </c>
      <c r="BF49" s="179">
        <v>11026</v>
      </c>
      <c r="BG49" s="177">
        <v>1526</v>
      </c>
      <c r="BH49" s="177">
        <v>881</v>
      </c>
      <c r="BI49" s="177">
        <v>4281</v>
      </c>
      <c r="BJ49" s="177">
        <v>2553</v>
      </c>
      <c r="BK49" s="177" t="s">
        <v>252</v>
      </c>
      <c r="BL49" s="177" t="s">
        <v>252</v>
      </c>
      <c r="BM49" s="177">
        <v>2872</v>
      </c>
      <c r="BN49" s="177">
        <v>4778</v>
      </c>
      <c r="BO49" s="177" t="s">
        <v>252</v>
      </c>
      <c r="BP49" s="177">
        <v>9701</v>
      </c>
      <c r="BQ49" s="177">
        <v>1648</v>
      </c>
      <c r="BR49" s="179">
        <v>8075</v>
      </c>
      <c r="BS49" s="177">
        <v>3491</v>
      </c>
      <c r="BT49" s="177">
        <v>6045</v>
      </c>
      <c r="BU49" s="177">
        <v>2712</v>
      </c>
      <c r="BV49" s="177">
        <v>5909</v>
      </c>
      <c r="BW49" s="177">
        <v>7827</v>
      </c>
      <c r="BX49" s="177">
        <v>3492</v>
      </c>
      <c r="BY49" s="177">
        <v>4733</v>
      </c>
      <c r="BZ49" s="177">
        <v>4775</v>
      </c>
      <c r="CA49" s="177">
        <v>4480</v>
      </c>
      <c r="CB49" s="179">
        <v>5174</v>
      </c>
      <c r="CC49" s="177">
        <v>20120</v>
      </c>
      <c r="CD49" s="177" t="s">
        <v>252</v>
      </c>
      <c r="CE49" s="177">
        <v>16486</v>
      </c>
      <c r="CF49" s="177" t="s">
        <v>252</v>
      </c>
      <c r="CG49" s="177">
        <v>10366</v>
      </c>
      <c r="CH49" s="177">
        <v>4167</v>
      </c>
      <c r="CI49" s="177">
        <v>4623</v>
      </c>
      <c r="CJ49" s="177">
        <v>5606</v>
      </c>
      <c r="CK49" s="178">
        <v>4076</v>
      </c>
      <c r="CL49" s="180">
        <v>274311</v>
      </c>
    </row>
    <row r="50" spans="1:90">
      <c r="A50" s="93">
        <f>ROWS($A$3:A48)</f>
        <v>46</v>
      </c>
      <c r="B50" s="59" t="s">
        <v>81</v>
      </c>
      <c r="C50" s="244">
        <v>2010</v>
      </c>
      <c r="D50" s="321" t="s">
        <v>22</v>
      </c>
      <c r="E50" s="320"/>
      <c r="F50" s="156">
        <v>81</v>
      </c>
      <c r="G50" s="177">
        <v>45</v>
      </c>
      <c r="H50" s="177">
        <v>63</v>
      </c>
      <c r="I50" s="178">
        <v>95</v>
      </c>
      <c r="J50" s="181"/>
      <c r="K50" s="156">
        <f t="shared" si="75"/>
        <v>111</v>
      </c>
      <c r="L50" s="177">
        <f t="shared" si="76"/>
        <v>81</v>
      </c>
      <c r="M50" s="177">
        <f t="shared" si="77"/>
        <v>48</v>
      </c>
      <c r="N50" s="177">
        <f t="shared" si="78"/>
        <v>98</v>
      </c>
      <c r="O50" s="177">
        <f t="shared" si="79"/>
        <v>91</v>
      </c>
      <c r="P50" s="183">
        <f>(AZ50*AZ35+BA50*BA35)/P35</f>
        <v>30.632177970625204</v>
      </c>
      <c r="Q50" s="177">
        <f>'2011'!AU50</f>
        <v>53</v>
      </c>
      <c r="R50" s="183">
        <f>(AT50*AT35+AX50*AX35)/R35</f>
        <v>53.917846943779388</v>
      </c>
      <c r="S50" s="177">
        <f t="shared" si="80"/>
        <v>58</v>
      </c>
      <c r="T50" s="177">
        <f t="shared" si="81"/>
        <v>94</v>
      </c>
      <c r="U50" s="179">
        <f t="shared" si="82"/>
        <v>130</v>
      </c>
      <c r="V50" s="183">
        <f>(BG50*BG35+BJ50*BJ35)/V35</f>
        <v>23.90534722655519</v>
      </c>
      <c r="W50" s="177">
        <f t="shared" si="83"/>
        <v>66</v>
      </c>
      <c r="X50" s="183">
        <f>(BH50*BH35+BI50*BI35)/X35</f>
        <v>23</v>
      </c>
      <c r="Y50" s="183">
        <f>(BK50*BK35+BL50*BL35+BN50*BN35)/Y35</f>
        <v>41.732504324248517</v>
      </c>
      <c r="Z50" s="177">
        <f t="shared" si="84"/>
        <v>55</v>
      </c>
      <c r="AA50" s="183">
        <f>(BO50*BO35+BQ50*BQ35)/AA35</f>
        <v>51.696666005159756</v>
      </c>
      <c r="AB50" s="179">
        <f t="shared" si="85"/>
        <v>67</v>
      </c>
      <c r="AC50" s="177">
        <f t="shared" si="86"/>
        <v>73</v>
      </c>
      <c r="AD50" s="177">
        <f t="shared" si="87"/>
        <v>61</v>
      </c>
      <c r="AE50" s="183">
        <f>(BS50*BS35+BT50*BT35)/AE35</f>
        <v>54.149585762503833</v>
      </c>
      <c r="AF50" s="177">
        <f t="shared" si="88"/>
        <v>64</v>
      </c>
      <c r="AG50" s="177">
        <f t="shared" si="89"/>
        <v>52</v>
      </c>
      <c r="AH50" s="177">
        <f t="shared" si="90"/>
        <v>69</v>
      </c>
      <c r="AI50" s="177">
        <f t="shared" si="91"/>
        <v>65</v>
      </c>
      <c r="AJ50" s="177">
        <f t="shared" si="92"/>
        <v>60</v>
      </c>
      <c r="AK50" s="179">
        <f t="shared" si="93"/>
        <v>80</v>
      </c>
      <c r="AL50" s="177">
        <f t="shared" si="94"/>
        <v>42</v>
      </c>
      <c r="AM50" s="177">
        <f t="shared" si="95"/>
        <v>115</v>
      </c>
      <c r="AN50" s="177">
        <f t="shared" si="96"/>
        <v>142</v>
      </c>
      <c r="AO50" s="177">
        <f t="shared" si="97"/>
        <v>67</v>
      </c>
      <c r="AP50" s="177">
        <f t="shared" si="98"/>
        <v>39</v>
      </c>
      <c r="AQ50" s="177">
        <f t="shared" si="99"/>
        <v>79</v>
      </c>
      <c r="AR50" s="177">
        <f t="shared" si="100"/>
        <v>72</v>
      </c>
      <c r="AS50" s="184">
        <f>(CF50*CF35+CG50*CG35)/AS35</f>
        <v>98.344088616760459</v>
      </c>
      <c r="AT50" s="177">
        <v>40</v>
      </c>
      <c r="AU50" s="177">
        <v>53</v>
      </c>
      <c r="AV50" s="177">
        <v>58</v>
      </c>
      <c r="AW50" s="177">
        <v>98</v>
      </c>
      <c r="AX50" s="177">
        <v>55</v>
      </c>
      <c r="AY50" s="177">
        <v>81</v>
      </c>
      <c r="AZ50" s="177">
        <v>13</v>
      </c>
      <c r="BA50" s="177">
        <v>32</v>
      </c>
      <c r="BB50" s="177">
        <v>94</v>
      </c>
      <c r="BC50" s="177">
        <v>130</v>
      </c>
      <c r="BD50" s="177">
        <v>48</v>
      </c>
      <c r="BE50" s="177">
        <v>91</v>
      </c>
      <c r="BF50" s="179">
        <v>111</v>
      </c>
      <c r="BG50" s="177">
        <v>23</v>
      </c>
      <c r="BH50" s="177">
        <v>23</v>
      </c>
      <c r="BI50" s="177">
        <v>23</v>
      </c>
      <c r="BJ50" s="177">
        <v>24</v>
      </c>
      <c r="BK50" s="177">
        <v>43</v>
      </c>
      <c r="BL50" s="177">
        <v>24</v>
      </c>
      <c r="BM50" s="177">
        <v>55</v>
      </c>
      <c r="BN50" s="177">
        <v>43</v>
      </c>
      <c r="BO50" s="177">
        <v>46</v>
      </c>
      <c r="BP50" s="177">
        <v>67</v>
      </c>
      <c r="BQ50" s="177">
        <v>52</v>
      </c>
      <c r="BR50" s="179">
        <v>66</v>
      </c>
      <c r="BS50" s="177">
        <v>28</v>
      </c>
      <c r="BT50" s="177">
        <v>56</v>
      </c>
      <c r="BU50" s="177">
        <v>61</v>
      </c>
      <c r="BV50" s="177">
        <v>52</v>
      </c>
      <c r="BW50" s="177">
        <v>65</v>
      </c>
      <c r="BX50" s="177">
        <v>73</v>
      </c>
      <c r="BY50" s="177">
        <v>60</v>
      </c>
      <c r="BZ50" s="177">
        <v>69</v>
      </c>
      <c r="CA50" s="177">
        <v>64</v>
      </c>
      <c r="CB50" s="179">
        <v>80</v>
      </c>
      <c r="CC50" s="177">
        <v>67</v>
      </c>
      <c r="CD50" s="177">
        <v>39</v>
      </c>
      <c r="CE50" s="177">
        <v>42</v>
      </c>
      <c r="CF50" s="177">
        <v>88</v>
      </c>
      <c r="CG50" s="177">
        <v>99</v>
      </c>
      <c r="CH50" s="177">
        <v>115</v>
      </c>
      <c r="CI50" s="177">
        <v>72</v>
      </c>
      <c r="CJ50" s="177">
        <v>142</v>
      </c>
      <c r="CK50" s="178">
        <v>79</v>
      </c>
      <c r="CL50" s="180">
        <v>76</v>
      </c>
    </row>
    <row r="51" spans="1:90">
      <c r="A51" s="93">
        <f>ROWS($A$3:A49)</f>
        <v>47</v>
      </c>
      <c r="B51" s="62" t="s">
        <v>103</v>
      </c>
      <c r="C51" s="312">
        <v>2010</v>
      </c>
      <c r="D51" s="319" t="s">
        <v>10</v>
      </c>
      <c r="E51" s="322">
        <v>40441</v>
      </c>
      <c r="F51" s="182">
        <f>IF(ISERROR(F95/F42)=TRUE,0,ROUND(F95/F42*1000,0))</f>
        <v>6073</v>
      </c>
      <c r="G51" s="183">
        <f>IF(ISERROR(G95/G42)=TRUE,0,ROUND(G95/G42*1000,0))</f>
        <v>6185</v>
      </c>
      <c r="H51" s="183">
        <f>IF(ISERROR(H95/H42)=TRUE,0,ROUND(H95/H42*1000,0))</f>
        <v>5447</v>
      </c>
      <c r="I51" s="184">
        <f>IF(ISERROR(I95/I42)=TRUE,0,ROUND(I95/I42*1000,0))</f>
        <v>6234</v>
      </c>
      <c r="J51" s="181"/>
      <c r="K51" s="185">
        <f t="shared" si="75"/>
        <v>6605</v>
      </c>
      <c r="L51" s="186">
        <f t="shared" si="76"/>
        <v>6252</v>
      </c>
      <c r="M51" s="186">
        <f t="shared" si="77"/>
        <v>6044</v>
      </c>
      <c r="N51" s="186">
        <f t="shared" si="78"/>
        <v>5432</v>
      </c>
      <c r="O51" s="186">
        <f t="shared" si="79"/>
        <v>5561</v>
      </c>
      <c r="P51" s="183">
        <f>IF(ISERROR(P95/P42)=TRUE,0,ROUND(P95/P42*1000,0))</f>
        <v>6259</v>
      </c>
      <c r="Q51" s="186">
        <f>'2010'!AU51</f>
        <v>5381</v>
      </c>
      <c r="R51" s="183">
        <f>IF(ISERROR(R95/R42)=TRUE,0,ROUND(R95/R42*1000,0))</f>
        <v>6630</v>
      </c>
      <c r="S51" s="186">
        <f t="shared" si="80"/>
        <v>4916</v>
      </c>
      <c r="T51" s="186">
        <f t="shared" si="81"/>
        <v>5707</v>
      </c>
      <c r="U51" s="187">
        <f t="shared" si="82"/>
        <v>6157</v>
      </c>
      <c r="V51" s="183">
        <f>IF(ISERROR(V95/V42)=TRUE,0,ROUND(V95/V42*1000,0))</f>
        <v>5000</v>
      </c>
      <c r="W51" s="186">
        <f t="shared" si="83"/>
        <v>6094</v>
      </c>
      <c r="X51" s="183">
        <f>IF(ISERROR(X95/X42)=TRUE,0,ROUND(X95/X42*1000,0))</f>
        <v>5324</v>
      </c>
      <c r="Y51" s="183">
        <f>IF(ISERROR(Y95/Y42)=TRUE,0,ROUND(Y95/Y42*1000,0))</f>
        <v>6734</v>
      </c>
      <c r="Z51" s="186">
        <f t="shared" si="84"/>
        <v>6358</v>
      </c>
      <c r="AA51" s="183">
        <f>IF(ISERROR(AA95/AA42)=TRUE,0,ROUND(AA95/AA42*1000,0))</f>
        <v>6456</v>
      </c>
      <c r="AB51" s="187">
        <f t="shared" si="85"/>
        <v>6002</v>
      </c>
      <c r="AC51" s="186">
        <f t="shared" si="86"/>
        <v>5211</v>
      </c>
      <c r="AD51" s="186">
        <f t="shared" si="87"/>
        <v>5107</v>
      </c>
      <c r="AE51" s="183">
        <f>IF(ISERROR(AE95/AE42)=TRUE,0,ROUND(AE95/AE42*1000,0))</f>
        <v>5440</v>
      </c>
      <c r="AF51" s="186">
        <f t="shared" si="88"/>
        <v>4749</v>
      </c>
      <c r="AG51" s="186">
        <f t="shared" si="89"/>
        <v>4750</v>
      </c>
      <c r="AH51" s="186">
        <f t="shared" si="90"/>
        <v>6389</v>
      </c>
      <c r="AI51" s="186">
        <f t="shared" si="91"/>
        <v>5278</v>
      </c>
      <c r="AJ51" s="186">
        <f t="shared" si="92"/>
        <v>6087</v>
      </c>
      <c r="AK51" s="187">
        <f t="shared" si="93"/>
        <v>5603</v>
      </c>
      <c r="AL51" s="186">
        <f t="shared" si="94"/>
        <v>6181</v>
      </c>
      <c r="AM51" s="186">
        <f t="shared" si="95"/>
        <v>6152</v>
      </c>
      <c r="AN51" s="186">
        <f t="shared" si="96"/>
        <v>6342</v>
      </c>
      <c r="AO51" s="186">
        <f t="shared" si="97"/>
        <v>6078</v>
      </c>
      <c r="AP51" s="186">
        <f t="shared" si="98"/>
        <v>5746</v>
      </c>
      <c r="AQ51" s="186">
        <f t="shared" si="99"/>
        <v>6068</v>
      </c>
      <c r="AR51" s="186">
        <f t="shared" si="100"/>
        <v>5883</v>
      </c>
      <c r="AS51" s="184">
        <f t="shared" ref="AS51:CL51" si="104">IF(ISERROR(AS95/AS42)=TRUE,0,ROUND(AS95/AS42*1000,0))</f>
        <v>6411</v>
      </c>
      <c r="AT51" s="183">
        <f t="shared" si="104"/>
        <v>0</v>
      </c>
      <c r="AU51" s="183">
        <f t="shared" si="104"/>
        <v>5381</v>
      </c>
      <c r="AV51" s="183">
        <f t="shared" si="104"/>
        <v>4916</v>
      </c>
      <c r="AW51" s="183">
        <f t="shared" si="104"/>
        <v>5432</v>
      </c>
      <c r="AX51" s="183">
        <f t="shared" si="104"/>
        <v>6630</v>
      </c>
      <c r="AY51" s="183">
        <f t="shared" si="104"/>
        <v>6252</v>
      </c>
      <c r="AZ51" s="183">
        <f t="shared" si="104"/>
        <v>0</v>
      </c>
      <c r="BA51" s="183">
        <f t="shared" si="104"/>
        <v>6259</v>
      </c>
      <c r="BB51" s="183">
        <f t="shared" si="104"/>
        <v>5707</v>
      </c>
      <c r="BC51" s="183">
        <f t="shared" si="104"/>
        <v>6157</v>
      </c>
      <c r="BD51" s="183">
        <f t="shared" si="104"/>
        <v>6044</v>
      </c>
      <c r="BE51" s="183">
        <f t="shared" si="104"/>
        <v>5561</v>
      </c>
      <c r="BF51" s="188">
        <f t="shared" si="104"/>
        <v>6605</v>
      </c>
      <c r="BG51" s="183">
        <f t="shared" si="104"/>
        <v>0</v>
      </c>
      <c r="BH51" s="183">
        <f t="shared" si="104"/>
        <v>0</v>
      </c>
      <c r="BI51" s="183">
        <f t="shared" si="104"/>
        <v>5324</v>
      </c>
      <c r="BJ51" s="183">
        <f t="shared" si="104"/>
        <v>5000</v>
      </c>
      <c r="BK51" s="183">
        <f t="shared" si="104"/>
        <v>0</v>
      </c>
      <c r="BL51" s="183">
        <f t="shared" si="104"/>
        <v>0</v>
      </c>
      <c r="BM51" s="183">
        <f t="shared" si="104"/>
        <v>6358</v>
      </c>
      <c r="BN51" s="183">
        <f t="shared" si="104"/>
        <v>6734</v>
      </c>
      <c r="BO51" s="183">
        <f t="shared" si="104"/>
        <v>0</v>
      </c>
      <c r="BP51" s="183">
        <f t="shared" si="104"/>
        <v>6002</v>
      </c>
      <c r="BQ51" s="183">
        <f t="shared" si="104"/>
        <v>6456</v>
      </c>
      <c r="BR51" s="188">
        <f t="shared" si="104"/>
        <v>6094</v>
      </c>
      <c r="BS51" s="183">
        <f t="shared" si="104"/>
        <v>0</v>
      </c>
      <c r="BT51" s="183">
        <f t="shared" si="104"/>
        <v>5489</v>
      </c>
      <c r="BU51" s="183">
        <f t="shared" si="104"/>
        <v>5107</v>
      </c>
      <c r="BV51" s="183">
        <f t="shared" si="104"/>
        <v>4750</v>
      </c>
      <c r="BW51" s="183">
        <f t="shared" si="104"/>
        <v>5278</v>
      </c>
      <c r="BX51" s="183">
        <f t="shared" si="104"/>
        <v>5211</v>
      </c>
      <c r="BY51" s="183">
        <f t="shared" si="104"/>
        <v>6087</v>
      </c>
      <c r="BZ51" s="183">
        <f t="shared" si="104"/>
        <v>6389</v>
      </c>
      <c r="CA51" s="183">
        <f t="shared" si="104"/>
        <v>4749</v>
      </c>
      <c r="CB51" s="188">
        <f t="shared" si="104"/>
        <v>5603</v>
      </c>
      <c r="CC51" s="183">
        <f t="shared" si="104"/>
        <v>6078</v>
      </c>
      <c r="CD51" s="183">
        <f t="shared" si="104"/>
        <v>5746</v>
      </c>
      <c r="CE51" s="183">
        <f t="shared" si="104"/>
        <v>6181</v>
      </c>
      <c r="CF51" s="183">
        <f t="shared" si="104"/>
        <v>0</v>
      </c>
      <c r="CG51" s="183">
        <f t="shared" si="104"/>
        <v>6698</v>
      </c>
      <c r="CH51" s="183">
        <f t="shared" si="104"/>
        <v>6152</v>
      </c>
      <c r="CI51" s="183">
        <f t="shared" si="104"/>
        <v>5883</v>
      </c>
      <c r="CJ51" s="183">
        <f t="shared" si="104"/>
        <v>6342</v>
      </c>
      <c r="CK51" s="184">
        <f t="shared" si="104"/>
        <v>6068</v>
      </c>
      <c r="CL51" s="189">
        <f t="shared" si="104"/>
        <v>6311</v>
      </c>
    </row>
    <row r="52" spans="1:90">
      <c r="A52" s="93">
        <f>ROWS($A$3:A50)</f>
        <v>48</v>
      </c>
      <c r="B52" s="62" t="s">
        <v>104</v>
      </c>
      <c r="C52" s="312"/>
      <c r="D52" s="319" t="s">
        <v>11</v>
      </c>
      <c r="E52" s="322">
        <v>40441</v>
      </c>
      <c r="F52" s="182">
        <f>F96</f>
        <v>617399</v>
      </c>
      <c r="G52" s="183">
        <f>G96</f>
        <v>142781</v>
      </c>
      <c r="H52" s="183">
        <f>H96</f>
        <v>370424</v>
      </c>
      <c r="I52" s="184">
        <f>I96</f>
        <v>1004630</v>
      </c>
      <c r="J52" s="181"/>
      <c r="K52" s="185">
        <f t="shared" si="75"/>
        <v>165837</v>
      </c>
      <c r="L52" s="186">
        <f t="shared" si="76"/>
        <v>41990</v>
      </c>
      <c r="M52" s="186">
        <f t="shared" si="77"/>
        <v>41892</v>
      </c>
      <c r="N52" s="186">
        <f t="shared" si="78"/>
        <v>57563</v>
      </c>
      <c r="O52" s="186">
        <f t="shared" si="79"/>
        <v>44020</v>
      </c>
      <c r="P52" s="186">
        <f>AZ52+BA52</f>
        <v>27398</v>
      </c>
      <c r="Q52" s="186">
        <f>'2009'!AU52</f>
        <v>16912</v>
      </c>
      <c r="R52" s="186">
        <f>AT52+AX52</f>
        <v>30881</v>
      </c>
      <c r="S52" s="186">
        <f t="shared" si="80"/>
        <v>12315</v>
      </c>
      <c r="T52" s="186">
        <f t="shared" si="81"/>
        <v>43221</v>
      </c>
      <c r="U52" s="187">
        <f t="shared" si="82"/>
        <v>135140</v>
      </c>
      <c r="V52" s="186">
        <f>BG52+BJ52</f>
        <v>1905</v>
      </c>
      <c r="W52" s="186">
        <f t="shared" si="83"/>
        <v>23030</v>
      </c>
      <c r="X52" s="186">
        <f>BH52+BI52</f>
        <v>6427</v>
      </c>
      <c r="Y52" s="186">
        <f>BK52+BL52+BN52</f>
        <v>23865</v>
      </c>
      <c r="Z52" s="186">
        <f t="shared" si="84"/>
        <v>47945</v>
      </c>
      <c r="AA52" s="186">
        <f>BO52+BQ52</f>
        <v>18570</v>
      </c>
      <c r="AB52" s="187">
        <f t="shared" si="85"/>
        <v>21039</v>
      </c>
      <c r="AC52" s="186">
        <f t="shared" si="86"/>
        <v>64945</v>
      </c>
      <c r="AD52" s="186">
        <f t="shared" si="87"/>
        <v>18303</v>
      </c>
      <c r="AE52" s="186">
        <f>BS52+BT52</f>
        <v>56256</v>
      </c>
      <c r="AF52" s="186">
        <f t="shared" si="88"/>
        <v>17921</v>
      </c>
      <c r="AG52" s="186">
        <f t="shared" si="89"/>
        <v>38783</v>
      </c>
      <c r="AH52" s="186">
        <f t="shared" si="90"/>
        <v>56430</v>
      </c>
      <c r="AI52" s="186">
        <f t="shared" si="91"/>
        <v>26870</v>
      </c>
      <c r="AJ52" s="186">
        <f t="shared" si="92"/>
        <v>32882</v>
      </c>
      <c r="AK52" s="187">
        <f t="shared" si="93"/>
        <v>58034</v>
      </c>
      <c r="AL52" s="186">
        <f t="shared" si="94"/>
        <v>21184</v>
      </c>
      <c r="AM52" s="186">
        <f t="shared" si="95"/>
        <v>217098</v>
      </c>
      <c r="AN52" s="186">
        <f t="shared" si="96"/>
        <v>443864</v>
      </c>
      <c r="AO52" s="186">
        <f t="shared" si="97"/>
        <v>49804</v>
      </c>
      <c r="AP52" s="186">
        <f t="shared" si="98"/>
        <v>9156</v>
      </c>
      <c r="AQ52" s="186">
        <f t="shared" si="99"/>
        <v>78000</v>
      </c>
      <c r="AR52" s="186">
        <f t="shared" si="100"/>
        <v>61951</v>
      </c>
      <c r="AS52" s="190">
        <f>CF52+CG52</f>
        <v>123573</v>
      </c>
      <c r="AT52" s="183">
        <f t="shared" ref="AT52:BF52" si="105">AT96</f>
        <v>2097</v>
      </c>
      <c r="AU52" s="183">
        <f t="shared" si="105"/>
        <v>17142</v>
      </c>
      <c r="AV52" s="183">
        <f t="shared" si="105"/>
        <v>12315</v>
      </c>
      <c r="AW52" s="183">
        <f t="shared" si="105"/>
        <v>57563</v>
      </c>
      <c r="AX52" s="183">
        <f t="shared" si="105"/>
        <v>28784</v>
      </c>
      <c r="AY52" s="183">
        <f t="shared" si="105"/>
        <v>41990</v>
      </c>
      <c r="AZ52" s="183">
        <f t="shared" si="105"/>
        <v>1352</v>
      </c>
      <c r="BA52" s="183">
        <f t="shared" si="105"/>
        <v>26046</v>
      </c>
      <c r="BB52" s="183">
        <f t="shared" si="105"/>
        <v>43221</v>
      </c>
      <c r="BC52" s="183">
        <f t="shared" si="105"/>
        <v>135140</v>
      </c>
      <c r="BD52" s="183">
        <f t="shared" si="105"/>
        <v>41892</v>
      </c>
      <c r="BE52" s="183">
        <f t="shared" si="105"/>
        <v>44020</v>
      </c>
      <c r="BF52" s="188">
        <f t="shared" si="105"/>
        <v>165837</v>
      </c>
      <c r="BG52" s="183">
        <v>0</v>
      </c>
      <c r="BH52" s="183">
        <f t="shared" ref="BH52:CK52" si="106">BH96</f>
        <v>0</v>
      </c>
      <c r="BI52" s="183">
        <f t="shared" si="106"/>
        <v>6427</v>
      </c>
      <c r="BJ52" s="183">
        <f t="shared" si="106"/>
        <v>1905</v>
      </c>
      <c r="BK52" s="183">
        <f t="shared" si="106"/>
        <v>1079</v>
      </c>
      <c r="BL52" s="183">
        <f t="shared" si="106"/>
        <v>54</v>
      </c>
      <c r="BM52" s="183">
        <f t="shared" si="106"/>
        <v>47945</v>
      </c>
      <c r="BN52" s="183">
        <f t="shared" si="106"/>
        <v>22732</v>
      </c>
      <c r="BO52" s="183">
        <f t="shared" si="106"/>
        <v>181</v>
      </c>
      <c r="BP52" s="183">
        <f t="shared" si="106"/>
        <v>21039</v>
      </c>
      <c r="BQ52" s="183">
        <f t="shared" si="106"/>
        <v>18389</v>
      </c>
      <c r="BR52" s="188">
        <f t="shared" si="106"/>
        <v>23030</v>
      </c>
      <c r="BS52" s="183">
        <f t="shared" si="106"/>
        <v>0</v>
      </c>
      <c r="BT52" s="183">
        <f t="shared" si="106"/>
        <v>56256</v>
      </c>
      <c r="BU52" s="183">
        <f t="shared" si="106"/>
        <v>18303</v>
      </c>
      <c r="BV52" s="183">
        <f t="shared" si="106"/>
        <v>38783</v>
      </c>
      <c r="BW52" s="183">
        <f t="shared" si="106"/>
        <v>26870</v>
      </c>
      <c r="BX52" s="183">
        <f t="shared" si="106"/>
        <v>64945</v>
      </c>
      <c r="BY52" s="183">
        <f t="shared" si="106"/>
        <v>32882</v>
      </c>
      <c r="BZ52" s="183">
        <f t="shared" si="106"/>
        <v>56430</v>
      </c>
      <c r="CA52" s="183">
        <f t="shared" si="106"/>
        <v>17921</v>
      </c>
      <c r="CB52" s="188">
        <f t="shared" si="106"/>
        <v>58034</v>
      </c>
      <c r="CC52" s="183">
        <f t="shared" si="106"/>
        <v>49804</v>
      </c>
      <c r="CD52" s="183">
        <f t="shared" si="106"/>
        <v>9156</v>
      </c>
      <c r="CE52" s="183">
        <f t="shared" si="106"/>
        <v>21184</v>
      </c>
      <c r="CF52" s="183">
        <f t="shared" si="106"/>
        <v>6090</v>
      </c>
      <c r="CG52" s="183">
        <f t="shared" si="106"/>
        <v>117483</v>
      </c>
      <c r="CH52" s="183">
        <f t="shared" si="106"/>
        <v>217098</v>
      </c>
      <c r="CI52" s="183">
        <f t="shared" si="106"/>
        <v>61951</v>
      </c>
      <c r="CJ52" s="183">
        <f t="shared" si="106"/>
        <v>443864</v>
      </c>
      <c r="CK52" s="184">
        <f t="shared" si="106"/>
        <v>78000</v>
      </c>
      <c r="CL52" s="189">
        <v>2117936</v>
      </c>
    </row>
    <row r="53" spans="1:90">
      <c r="A53" s="93">
        <f>ROWS($A$3:A51)</f>
        <v>49</v>
      </c>
      <c r="B53" s="62" t="str">
        <f>"Änderung der Milchanlieferung "&amp;C51&amp;" / "&amp;C97</f>
        <v>Änderung der Milchanlieferung 2010 / 2001</v>
      </c>
      <c r="C53" s="312"/>
      <c r="D53" s="319" t="s">
        <v>4</v>
      </c>
      <c r="E53" s="322">
        <v>40441</v>
      </c>
      <c r="F53" s="207">
        <v>-0.55500000000000005</v>
      </c>
      <c r="G53" s="208">
        <v>-3.7679999999999998</v>
      </c>
      <c r="H53" s="208">
        <v>-0.80600000000000005</v>
      </c>
      <c r="I53" s="209">
        <v>-1.0680000000000001</v>
      </c>
      <c r="J53" s="213"/>
      <c r="K53" s="218">
        <f t="shared" si="75"/>
        <v>10.035697223844155</v>
      </c>
      <c r="L53" s="219">
        <f t="shared" si="76"/>
        <v>-1.9154403176827843</v>
      </c>
      <c r="M53" s="219">
        <f t="shared" si="77"/>
        <v>-8.8729851428074227</v>
      </c>
      <c r="N53" s="219">
        <f t="shared" si="78"/>
        <v>-0.32726139354481232</v>
      </c>
      <c r="O53" s="219">
        <f t="shared" si="79"/>
        <v>4.5630537542459439</v>
      </c>
      <c r="P53" s="208">
        <f>(P52-P98)/P98%</f>
        <v>-20.178300897331312</v>
      </c>
      <c r="Q53" s="219">
        <f>'2011'!AU53</f>
        <v>-7.0239192927265819</v>
      </c>
      <c r="R53" s="208">
        <f>(R52-R98)/R98%</f>
        <v>-2.5835962145110409</v>
      </c>
      <c r="S53" s="219">
        <f t="shared" si="80"/>
        <v>-15.892637617811776</v>
      </c>
      <c r="T53" s="219">
        <f t="shared" si="81"/>
        <v>-3.9682716021952142</v>
      </c>
      <c r="U53" s="220">
        <f t="shared" si="82"/>
        <v>-0.20013145165459234</v>
      </c>
      <c r="V53" s="208">
        <f>(V52-V98)/V98%</f>
        <v>-32.326820603907642</v>
      </c>
      <c r="W53" s="219">
        <f t="shared" si="83"/>
        <v>4.3781725888324878</v>
      </c>
      <c r="X53" s="208">
        <f>(X52-X98)/X98%</f>
        <v>-27.098457350272234</v>
      </c>
      <c r="Y53" s="208">
        <f>(Y52-Y98)/Y98%</f>
        <v>-7.8713712168004939</v>
      </c>
      <c r="Z53" s="219">
        <f t="shared" si="84"/>
        <v>-7.3526570048309177</v>
      </c>
      <c r="AA53" s="208">
        <f>(AA52-AA98)/AA98%</f>
        <v>14.51652688702516</v>
      </c>
      <c r="AB53" s="220">
        <f t="shared" si="85"/>
        <v>-1.9617893755824791</v>
      </c>
      <c r="AC53" s="219">
        <f t="shared" si="86"/>
        <v>5.1094063572214674</v>
      </c>
      <c r="AD53" s="219">
        <f t="shared" si="87"/>
        <v>-5.8874948580830937</v>
      </c>
      <c r="AE53" s="208">
        <f>(AE52-AE98)/AE98%</f>
        <v>1.8521536038238009</v>
      </c>
      <c r="AF53" s="219">
        <f t="shared" si="88"/>
        <v>-10.192934101728889</v>
      </c>
      <c r="AG53" s="219">
        <f t="shared" si="89"/>
        <v>-12.933279454022989</v>
      </c>
      <c r="AH53" s="219">
        <f t="shared" si="90"/>
        <v>5.2739585470962451</v>
      </c>
      <c r="AI53" s="219">
        <f t="shared" si="91"/>
        <v>-8.6178751190314244</v>
      </c>
      <c r="AJ53" s="219">
        <f t="shared" si="92"/>
        <v>15.302615891717512</v>
      </c>
      <c r="AK53" s="220">
        <f t="shared" si="93"/>
        <v>7.2618057480824332</v>
      </c>
      <c r="AL53" s="219">
        <f t="shared" si="94"/>
        <v>11.447811447811446</v>
      </c>
      <c r="AM53" s="219">
        <f t="shared" si="95"/>
        <v>-1.3150537976553587</v>
      </c>
      <c r="AN53" s="219">
        <f t="shared" si="96"/>
        <v>1.4240274934191286</v>
      </c>
      <c r="AO53" s="219">
        <f t="shared" si="97"/>
        <v>-4.1604125774544896</v>
      </c>
      <c r="AP53" s="219">
        <f t="shared" si="98"/>
        <v>-3.0392883617494437</v>
      </c>
      <c r="AQ53" s="219">
        <f t="shared" si="99"/>
        <v>-2.6496761229609476</v>
      </c>
      <c r="AR53" s="219">
        <f t="shared" si="100"/>
        <v>-13.446035626964722</v>
      </c>
      <c r="AS53" s="209">
        <f>(AS52-AS98)/AS98%</f>
        <v>3.3659838225330199</v>
      </c>
      <c r="AT53" s="208">
        <f t="shared" ref="AT53:CK53" si="107">IF(AT52=0,0,(AT52-AT98)/AT98%)</f>
        <v>-3.0513176144244105</v>
      </c>
      <c r="AU53" s="208">
        <f t="shared" si="107"/>
        <v>-7.0239192927265819</v>
      </c>
      <c r="AV53" s="208">
        <f t="shared" si="107"/>
        <v>-15.892637617811776</v>
      </c>
      <c r="AW53" s="208">
        <f t="shared" si="107"/>
        <v>-0.32726139354481232</v>
      </c>
      <c r="AX53" s="208">
        <f t="shared" si="107"/>
        <v>-2.5493448894606763</v>
      </c>
      <c r="AY53" s="208">
        <f t="shared" si="107"/>
        <v>-1.9154403176827843</v>
      </c>
      <c r="AZ53" s="208">
        <f t="shared" si="107"/>
        <v>62.5</v>
      </c>
      <c r="BA53" s="208">
        <f t="shared" si="107"/>
        <v>-22.232174847724828</v>
      </c>
      <c r="BB53" s="208">
        <f t="shared" si="107"/>
        <v>-3.9682716021952142</v>
      </c>
      <c r="BC53" s="208">
        <f t="shared" si="107"/>
        <v>-0.20013145165459234</v>
      </c>
      <c r="BD53" s="208">
        <f t="shared" si="107"/>
        <v>-8.8729851428074227</v>
      </c>
      <c r="BE53" s="208">
        <f t="shared" si="107"/>
        <v>4.5630537542459439</v>
      </c>
      <c r="BF53" s="216">
        <f t="shared" si="107"/>
        <v>10.035697223844155</v>
      </c>
      <c r="BG53" s="208">
        <f t="shared" si="107"/>
        <v>0</v>
      </c>
      <c r="BH53" s="208">
        <f t="shared" si="107"/>
        <v>0</v>
      </c>
      <c r="BI53" s="208">
        <f t="shared" si="107"/>
        <v>-22.715247715247717</v>
      </c>
      <c r="BJ53" s="208">
        <f t="shared" si="107"/>
        <v>-32.326820603907642</v>
      </c>
      <c r="BK53" s="208">
        <f t="shared" si="107"/>
        <v>-34.882317441158719</v>
      </c>
      <c r="BL53" s="208">
        <f t="shared" si="107"/>
        <v>-66.871165644171782</v>
      </c>
      <c r="BM53" s="208">
        <f t="shared" si="107"/>
        <v>-7.3526570048309177</v>
      </c>
      <c r="BN53" s="208">
        <f t="shared" si="107"/>
        <v>-5.6136854343132372</v>
      </c>
      <c r="BO53" s="208">
        <f t="shared" si="107"/>
        <v>-62.054507337526211</v>
      </c>
      <c r="BP53" s="208">
        <f t="shared" si="107"/>
        <v>-1.9617893755824791</v>
      </c>
      <c r="BQ53" s="208">
        <f t="shared" si="107"/>
        <v>16.83715610902853</v>
      </c>
      <c r="BR53" s="216">
        <f t="shared" si="107"/>
        <v>4.3781725888324878</v>
      </c>
      <c r="BS53" s="208">
        <f t="shared" si="107"/>
        <v>0</v>
      </c>
      <c r="BT53" s="208">
        <f t="shared" si="107"/>
        <v>1.8521536038238009</v>
      </c>
      <c r="BU53" s="208">
        <f t="shared" si="107"/>
        <v>-5.8874948580830937</v>
      </c>
      <c r="BV53" s="208">
        <f t="shared" si="107"/>
        <v>-12.933279454022989</v>
      </c>
      <c r="BW53" s="208">
        <f t="shared" si="107"/>
        <v>-8.6178751190314244</v>
      </c>
      <c r="BX53" s="208">
        <f t="shared" si="107"/>
        <v>5.1094063572214674</v>
      </c>
      <c r="BY53" s="208">
        <f t="shared" si="107"/>
        <v>15.302615891717512</v>
      </c>
      <c r="BZ53" s="208">
        <f t="shared" si="107"/>
        <v>5.2739585470962451</v>
      </c>
      <c r="CA53" s="208">
        <f t="shared" si="107"/>
        <v>-10.192934101728889</v>
      </c>
      <c r="CB53" s="216">
        <f t="shared" si="107"/>
        <v>7.2618057480824332</v>
      </c>
      <c r="CC53" s="208">
        <f t="shared" si="107"/>
        <v>-4.1604125774544896</v>
      </c>
      <c r="CD53" s="208">
        <f t="shared" si="107"/>
        <v>-3.0392883617494437</v>
      </c>
      <c r="CE53" s="208">
        <f t="shared" si="107"/>
        <v>11.447811447811446</v>
      </c>
      <c r="CF53" s="208">
        <f t="shared" si="107"/>
        <v>-1.0560519902518277</v>
      </c>
      <c r="CG53" s="208">
        <f t="shared" si="107"/>
        <v>3.6060109000476213</v>
      </c>
      <c r="CH53" s="208">
        <f t="shared" si="107"/>
        <v>-1.3150537976553587</v>
      </c>
      <c r="CI53" s="208">
        <f t="shared" si="107"/>
        <v>-13.446035626964722</v>
      </c>
      <c r="CJ53" s="208">
        <f t="shared" si="107"/>
        <v>1.4240274934191286</v>
      </c>
      <c r="CK53" s="209">
        <f t="shared" si="107"/>
        <v>-2.6496761229609476</v>
      </c>
      <c r="CL53" s="217">
        <v>0.53</v>
      </c>
    </row>
    <row r="54" spans="1:90">
      <c r="A54" s="93">
        <f>ROWS($A$3:A52)</f>
        <v>50</v>
      </c>
      <c r="B54" s="107" t="str">
        <f>"Änderung Anzahl Milchkühe "&amp;C51&amp;" / "&amp;C97</f>
        <v>Änderung Anzahl Milchkühe 2010 / 2001</v>
      </c>
      <c r="C54" s="313"/>
      <c r="D54" s="324" t="s">
        <v>4</v>
      </c>
      <c r="E54" s="325">
        <v>40441</v>
      </c>
      <c r="F54" s="221">
        <f>IF(ISERROR(F42/F97)=FALSE,ROUND((F42-F97)/F97%,3)," -")</f>
        <v>-17.181000000000001</v>
      </c>
      <c r="G54" s="222">
        <f>IF(ISERROR(G42/G97)=FALSE,ROUND((G42-G97)/G97%,3)," -")</f>
        <v>-24.346</v>
      </c>
      <c r="H54" s="222">
        <f>IF(ISERROR(H42/H97)=FALSE,ROUND((H42-H97)/H97%,3)," -")</f>
        <v>-17.157</v>
      </c>
      <c r="I54" s="223">
        <f>IF(ISERROR(I42/I97)=FALSE,ROUND((I42-I97)/I97%,3)," -")</f>
        <v>-13.728</v>
      </c>
      <c r="J54" s="346"/>
      <c r="K54" s="224">
        <f t="shared" si="75"/>
        <v>-13.56</v>
      </c>
      <c r="L54" s="225">
        <f t="shared" si="76"/>
        <v>-22.523</v>
      </c>
      <c r="M54" s="225">
        <f t="shared" si="77"/>
        <v>-28.143000000000001</v>
      </c>
      <c r="N54" s="225">
        <f t="shared" si="78"/>
        <v>-12.768000000000001</v>
      </c>
      <c r="O54" s="225">
        <f t="shared" si="79"/>
        <v>-10.920999999999999</v>
      </c>
      <c r="P54" s="222">
        <f>IF(ISERROR(P42/P97)=FALSE,ROUND((P42-P97)/P97%,3)," -")</f>
        <v>-35.140999999999998</v>
      </c>
      <c r="Q54" s="225">
        <f>'2010'!AU54</f>
        <v>-11.624000000000001</v>
      </c>
      <c r="R54" s="222">
        <f>IF(ISERROR(R42/R97)=FALSE,ROUND((R42-R97)/R97%,3)," -")</f>
        <v>-31.687000000000001</v>
      </c>
      <c r="S54" s="225">
        <f t="shared" si="80"/>
        <v>-30.442</v>
      </c>
      <c r="T54" s="225">
        <f t="shared" si="81"/>
        <v>-16.346</v>
      </c>
      <c r="U54" s="226">
        <f t="shared" si="82"/>
        <v>-12.271000000000001</v>
      </c>
      <c r="V54" s="222">
        <f>IF(ISERROR(V42/V97)=FALSE,ROUND((V42-V97)/V97%,3)," -")</f>
        <v>-48.158000000000001</v>
      </c>
      <c r="W54" s="225">
        <f t="shared" si="83"/>
        <v>-20.446999999999999</v>
      </c>
      <c r="X54" s="222">
        <f>IF(ISERROR(X42/X97)=FALSE,ROUND((X42-X97)/X97%,3)," -")</f>
        <v>-42.816000000000003</v>
      </c>
      <c r="Y54" s="222">
        <f>IF(ISERROR(Y42/Y97)=FALSE,ROUND((Y42-Y97)/Y97%,3)," -")</f>
        <v>-34.86</v>
      </c>
      <c r="Z54" s="225">
        <f t="shared" si="84"/>
        <v>-22.434000000000001</v>
      </c>
      <c r="AA54" s="222">
        <f>IF(ISERROR(AA42/AA97)=FALSE,ROUND((AA42-AA97)/AA97%,3)," -")</f>
        <v>-12.75</v>
      </c>
      <c r="AB54" s="226">
        <f t="shared" si="85"/>
        <v>-21.722999999999999</v>
      </c>
      <c r="AC54" s="225">
        <f t="shared" si="86"/>
        <v>-9.18</v>
      </c>
      <c r="AD54" s="225">
        <f t="shared" si="87"/>
        <v>-21.716999999999999</v>
      </c>
      <c r="AE54" s="222">
        <f>IF(ISERROR(AE42/AE97)=FALSE,ROUND((AE42-AE97)/AE97%,3)," -")</f>
        <v>-17.702000000000002</v>
      </c>
      <c r="AF54" s="225">
        <f t="shared" si="88"/>
        <v>-25.792000000000002</v>
      </c>
      <c r="AG54" s="225">
        <f t="shared" si="89"/>
        <v>-28.2</v>
      </c>
      <c r="AH54" s="225">
        <f t="shared" si="90"/>
        <v>-14.191000000000001</v>
      </c>
      <c r="AI54" s="225">
        <f t="shared" si="91"/>
        <v>-26.83</v>
      </c>
      <c r="AJ54" s="225">
        <f t="shared" si="92"/>
        <v>-4.657</v>
      </c>
      <c r="AK54" s="226">
        <f t="shared" si="93"/>
        <v>-12.62</v>
      </c>
      <c r="AL54" s="225">
        <f t="shared" si="94"/>
        <v>-6.8440000000000003</v>
      </c>
      <c r="AM54" s="225">
        <f t="shared" si="95"/>
        <v>-11.881</v>
      </c>
      <c r="AN54" s="225">
        <f t="shared" si="96"/>
        <v>-10.108000000000001</v>
      </c>
      <c r="AO54" s="225">
        <f t="shared" si="97"/>
        <v>-21.686</v>
      </c>
      <c r="AP54" s="225">
        <f t="shared" si="98"/>
        <v>-26.827999999999999</v>
      </c>
      <c r="AQ54" s="225">
        <f t="shared" si="99"/>
        <v>-19.913</v>
      </c>
      <c r="AR54" s="225">
        <f t="shared" si="100"/>
        <v>-20.388000000000002</v>
      </c>
      <c r="AS54" s="223">
        <f>IF(ISERROR(AS42/AS97)=FALSE,ROUND((AS42-AS97)/AS97%,3)," -")</f>
        <v>-17.242999999999999</v>
      </c>
      <c r="AT54" s="222" t="str">
        <f>IF(ISERROR(AT42/AT97)=FALSE,ROUND((AT42-AT97)/AT97%,3)," -")</f>
        <v xml:space="preserve"> -</v>
      </c>
      <c r="AU54" s="222">
        <f t="shared" ref="AU54:CL54" si="108">IF(ISERROR(AU42/AU97)=FALSE,ROUND((AU42-AU97)/AU97%,3)," -")</f>
        <v>-11.624000000000001</v>
      </c>
      <c r="AV54" s="222">
        <f t="shared" si="108"/>
        <v>-30.442</v>
      </c>
      <c r="AW54" s="222">
        <f t="shared" si="108"/>
        <v>-12.768000000000001</v>
      </c>
      <c r="AX54" s="222">
        <f t="shared" si="108"/>
        <v>-26.009</v>
      </c>
      <c r="AY54" s="222">
        <f t="shared" si="108"/>
        <v>-22.523</v>
      </c>
      <c r="AZ54" s="222" t="str">
        <f t="shared" si="108"/>
        <v xml:space="preserve"> -</v>
      </c>
      <c r="BA54" s="222">
        <f t="shared" si="108"/>
        <v>-32.479999999999997</v>
      </c>
      <c r="BB54" s="222">
        <f t="shared" si="108"/>
        <v>-16.346</v>
      </c>
      <c r="BC54" s="222">
        <f t="shared" si="108"/>
        <v>-12.271000000000001</v>
      </c>
      <c r="BD54" s="222">
        <f t="shared" si="108"/>
        <v>-28.143000000000001</v>
      </c>
      <c r="BE54" s="222">
        <f t="shared" si="108"/>
        <v>-10.920999999999999</v>
      </c>
      <c r="BF54" s="227">
        <f t="shared" si="108"/>
        <v>-13.56</v>
      </c>
      <c r="BG54" s="222" t="str">
        <f t="shared" si="108"/>
        <v xml:space="preserve"> -</v>
      </c>
      <c r="BH54" s="222" t="str">
        <f t="shared" si="108"/>
        <v xml:space="preserve"> -</v>
      </c>
      <c r="BI54" s="222">
        <f t="shared" si="108"/>
        <v>-39.567999999999998</v>
      </c>
      <c r="BJ54" s="222">
        <f t="shared" si="108"/>
        <v>-48.158000000000001</v>
      </c>
      <c r="BK54" s="222" t="str">
        <f t="shared" si="108"/>
        <v xml:space="preserve"> -</v>
      </c>
      <c r="BL54" s="222" t="str">
        <f t="shared" si="108"/>
        <v xml:space="preserve"> -</v>
      </c>
      <c r="BM54" s="222">
        <f t="shared" si="108"/>
        <v>-22.434000000000001</v>
      </c>
      <c r="BN54" s="222">
        <f t="shared" si="108"/>
        <v>-30.922000000000001</v>
      </c>
      <c r="BO54" s="222" t="str">
        <f t="shared" si="108"/>
        <v xml:space="preserve"> -</v>
      </c>
      <c r="BP54" s="222">
        <f t="shared" si="108"/>
        <v>-21.722999999999999</v>
      </c>
      <c r="BQ54" s="222">
        <f t="shared" si="108"/>
        <v>-9.6579999999999995</v>
      </c>
      <c r="BR54" s="227">
        <f t="shared" si="108"/>
        <v>-20.446999999999999</v>
      </c>
      <c r="BS54" s="222" t="str">
        <f t="shared" si="108"/>
        <v xml:space="preserve"> -</v>
      </c>
      <c r="BT54" s="222">
        <f t="shared" si="108"/>
        <v>-18.440999999999999</v>
      </c>
      <c r="BU54" s="222">
        <f t="shared" si="108"/>
        <v>-21.716999999999999</v>
      </c>
      <c r="BV54" s="222">
        <f t="shared" si="108"/>
        <v>-28.2</v>
      </c>
      <c r="BW54" s="222">
        <f t="shared" si="108"/>
        <v>-26.83</v>
      </c>
      <c r="BX54" s="222">
        <f t="shared" si="108"/>
        <v>-9.18</v>
      </c>
      <c r="BY54" s="222">
        <f t="shared" si="108"/>
        <v>-4.657</v>
      </c>
      <c r="BZ54" s="222">
        <f t="shared" si="108"/>
        <v>-14.191000000000001</v>
      </c>
      <c r="CA54" s="222">
        <f t="shared" si="108"/>
        <v>-25.792000000000002</v>
      </c>
      <c r="CB54" s="227">
        <f t="shared" si="108"/>
        <v>-12.62</v>
      </c>
      <c r="CC54" s="222">
        <f t="shared" si="108"/>
        <v>-21.686</v>
      </c>
      <c r="CD54" s="222">
        <f t="shared" si="108"/>
        <v>-26.827999999999999</v>
      </c>
      <c r="CE54" s="222">
        <f t="shared" si="108"/>
        <v>-6.8440000000000003</v>
      </c>
      <c r="CF54" s="222">
        <f t="shared" si="108"/>
        <v>-17.465</v>
      </c>
      <c r="CG54" s="222">
        <f t="shared" si="108"/>
        <v>-17.233000000000001</v>
      </c>
      <c r="CH54" s="222">
        <f t="shared" si="108"/>
        <v>-11.881</v>
      </c>
      <c r="CI54" s="222">
        <f t="shared" si="108"/>
        <v>-20.388000000000002</v>
      </c>
      <c r="CJ54" s="222">
        <f t="shared" si="108"/>
        <v>-10.108000000000001</v>
      </c>
      <c r="CK54" s="223">
        <f t="shared" si="108"/>
        <v>-19.913</v>
      </c>
      <c r="CL54" s="228">
        <f t="shared" si="108"/>
        <v>-16.161000000000001</v>
      </c>
    </row>
    <row r="55" spans="1:90" ht="14.25">
      <c r="A55" s="93">
        <f>ROWS($A$3:A53)</f>
        <v>51</v>
      </c>
      <c r="B55" s="67" t="s">
        <v>224</v>
      </c>
      <c r="C55" s="241"/>
      <c r="D55" s="321"/>
      <c r="E55" s="320"/>
      <c r="F55" s="156"/>
      <c r="G55" s="177"/>
      <c r="H55" s="177"/>
      <c r="I55" s="178"/>
      <c r="J55" s="181"/>
      <c r="K55" s="156"/>
      <c r="L55" s="177"/>
      <c r="M55" s="177"/>
      <c r="N55" s="177"/>
      <c r="O55" s="177"/>
      <c r="P55" s="177"/>
      <c r="Q55" s="177"/>
      <c r="R55" s="177"/>
      <c r="S55" s="177"/>
      <c r="T55" s="177"/>
      <c r="U55" s="179"/>
      <c r="V55" s="177"/>
      <c r="W55" s="177"/>
      <c r="X55" s="177"/>
      <c r="Y55" s="177"/>
      <c r="Z55" s="177"/>
      <c r="AA55" s="177"/>
      <c r="AB55" s="179"/>
      <c r="AC55" s="177"/>
      <c r="AD55" s="177"/>
      <c r="AE55" s="177"/>
      <c r="AF55" s="177"/>
      <c r="AG55" s="177"/>
      <c r="AH55" s="177"/>
      <c r="AI55" s="177"/>
      <c r="AJ55" s="177"/>
      <c r="AK55" s="179"/>
      <c r="AL55" s="177"/>
      <c r="AM55" s="177"/>
      <c r="AN55" s="177"/>
      <c r="AO55" s="177"/>
      <c r="AP55" s="177"/>
      <c r="AQ55" s="177"/>
      <c r="AR55" s="177"/>
      <c r="AS55" s="178"/>
      <c r="AT55" s="177"/>
      <c r="AU55" s="177"/>
      <c r="AV55" s="177"/>
      <c r="AW55" s="177"/>
      <c r="AX55" s="177"/>
      <c r="AY55" s="177"/>
      <c r="AZ55" s="177"/>
      <c r="BA55" s="177"/>
      <c r="BB55" s="177"/>
      <c r="BC55" s="177"/>
      <c r="BD55" s="177"/>
      <c r="BE55" s="177"/>
      <c r="BF55" s="179"/>
      <c r="BG55" s="177"/>
      <c r="BH55" s="177"/>
      <c r="BI55" s="177"/>
      <c r="BJ55" s="177"/>
      <c r="BK55" s="177"/>
      <c r="BL55" s="177"/>
      <c r="BM55" s="177"/>
      <c r="BN55" s="177"/>
      <c r="BO55" s="177"/>
      <c r="BP55" s="177"/>
      <c r="BQ55" s="177"/>
      <c r="BR55" s="179"/>
      <c r="BS55" s="177"/>
      <c r="BT55" s="177"/>
      <c r="BU55" s="177"/>
      <c r="BV55" s="177"/>
      <c r="BW55" s="177"/>
      <c r="BX55" s="177"/>
      <c r="BY55" s="177"/>
      <c r="BZ55" s="177"/>
      <c r="CA55" s="177"/>
      <c r="CB55" s="179"/>
      <c r="CC55" s="177"/>
      <c r="CD55" s="177"/>
      <c r="CE55" s="177"/>
      <c r="CF55" s="177"/>
      <c r="CG55" s="177"/>
      <c r="CH55" s="177"/>
      <c r="CI55" s="177"/>
      <c r="CJ55" s="177"/>
      <c r="CK55" s="178"/>
      <c r="CL55" s="180"/>
    </row>
    <row r="56" spans="1:90">
      <c r="A56" s="93">
        <f>ROWS($A$3:A54)</f>
        <v>52</v>
      </c>
      <c r="B56" s="106" t="s">
        <v>57</v>
      </c>
      <c r="C56" s="242">
        <v>2011</v>
      </c>
      <c r="D56" s="319" t="s">
        <v>14</v>
      </c>
      <c r="E56" s="322">
        <v>40836</v>
      </c>
      <c r="F56" s="156">
        <v>255</v>
      </c>
      <c r="G56" s="177">
        <v>218</v>
      </c>
      <c r="H56" s="177">
        <v>262</v>
      </c>
      <c r="I56" s="178">
        <v>301</v>
      </c>
      <c r="J56" s="181"/>
      <c r="K56" s="156">
        <f t="shared" ref="K56:K63" si="109">BF56</f>
        <v>42</v>
      </c>
      <c r="L56" s="177">
        <f t="shared" ref="L56:L63" si="110">AY56</f>
        <v>26</v>
      </c>
      <c r="M56" s="177">
        <f t="shared" ref="M56:M63" si="111">BD56</f>
        <v>35</v>
      </c>
      <c r="N56" s="177">
        <f t="shared" ref="N56:N63" si="112">AW56</f>
        <v>19</v>
      </c>
      <c r="O56" s="177">
        <f t="shared" ref="O56:O63" si="113">BE56</f>
        <v>12</v>
      </c>
      <c r="P56" s="177">
        <f>'2011'!AZ56+'2011'!BA56</f>
        <v>25</v>
      </c>
      <c r="Q56" s="177">
        <f>'2011'!AU56</f>
        <v>20</v>
      </c>
      <c r="R56" s="177">
        <f t="shared" ref="R56:R63" si="114">AT56+AX56</f>
        <v>27</v>
      </c>
      <c r="S56" s="177">
        <f t="shared" ref="S56:S63" si="115">AV56</f>
        <v>29</v>
      </c>
      <c r="T56" s="177">
        <f t="shared" ref="T56:U63" si="116">BB56</f>
        <v>21</v>
      </c>
      <c r="U56" s="179">
        <f t="shared" si="116"/>
        <v>18</v>
      </c>
      <c r="V56" s="177">
        <f t="shared" ref="V56:V63" si="117">BG56+BJ56</f>
        <v>32</v>
      </c>
      <c r="W56" s="177">
        <f t="shared" ref="W56:W63" si="118">BR56</f>
        <v>18</v>
      </c>
      <c r="X56" s="177">
        <f t="shared" ref="X56:X63" si="119">BH56+BI56</f>
        <v>48</v>
      </c>
      <c r="Y56" s="177">
        <f t="shared" ref="Y56:Y63" si="120">BK56+BL56+BN56</f>
        <v>61</v>
      </c>
      <c r="Z56" s="177">
        <f t="shared" ref="Z56:Z63" si="121">BM56</f>
        <v>26</v>
      </c>
      <c r="AA56" s="177">
        <f t="shared" ref="AA56:AA63" si="122">BO56+BQ56</f>
        <v>29</v>
      </c>
      <c r="AB56" s="179">
        <f t="shared" ref="AB56:AB63" si="123">BP56</f>
        <v>26</v>
      </c>
      <c r="AC56" s="177">
        <f t="shared" ref="AC56:AC63" si="124">BX56</f>
        <v>25</v>
      </c>
      <c r="AD56" s="177">
        <f t="shared" ref="AD56:AD63" si="125">BU56</f>
        <v>19</v>
      </c>
      <c r="AE56" s="177">
        <f t="shared" ref="AE56:AE63" si="126">BS56+BT56</f>
        <v>53</v>
      </c>
      <c r="AF56" s="177">
        <f t="shared" ref="AF56:AF63" si="127">CA56</f>
        <v>26</v>
      </c>
      <c r="AG56" s="177">
        <f t="shared" ref="AG56:AG63" si="128">BV56</f>
        <v>23</v>
      </c>
      <c r="AH56" s="177">
        <f t="shared" ref="AH56:AH63" si="129">BZ56</f>
        <v>64</v>
      </c>
      <c r="AI56" s="177">
        <f t="shared" ref="AI56:AI63" si="130">BW56</f>
        <v>10</v>
      </c>
      <c r="AJ56" s="177">
        <f t="shared" ref="AJ56:AJ63" si="131">BY56</f>
        <v>23</v>
      </c>
      <c r="AK56" s="179">
        <f t="shared" ref="AK56:AK63" si="132">CB56</f>
        <v>37</v>
      </c>
      <c r="AL56" s="177">
        <f t="shared" ref="AL56:AL63" si="133">CE56</f>
        <v>53</v>
      </c>
      <c r="AM56" s="177">
        <f t="shared" ref="AM56:AM63" si="134">CH56</f>
        <v>31</v>
      </c>
      <c r="AN56" s="177">
        <f t="shared" ref="AN56:AN63" si="135">CJ56</f>
        <v>76</v>
      </c>
      <c r="AO56" s="177">
        <f t="shared" ref="AO56:AP63" si="136">CC56</f>
        <v>42</v>
      </c>
      <c r="AP56" s="177">
        <f t="shared" si="136"/>
        <v>22</v>
      </c>
      <c r="AQ56" s="177">
        <f t="shared" ref="AQ56:AQ63" si="137">CK56</f>
        <v>25</v>
      </c>
      <c r="AR56" s="177">
        <f t="shared" ref="AR56:AR63" si="138">CI56</f>
        <v>33</v>
      </c>
      <c r="AS56" s="178">
        <f t="shared" ref="AS56:AS63" si="139">CF56+CG56</f>
        <v>34</v>
      </c>
      <c r="AT56" s="177">
        <v>7</v>
      </c>
      <c r="AU56" s="177">
        <v>20</v>
      </c>
      <c r="AV56" s="177">
        <v>29</v>
      </c>
      <c r="AW56" s="177">
        <v>19</v>
      </c>
      <c r="AX56" s="177">
        <v>20</v>
      </c>
      <c r="AY56" s="177">
        <v>26</v>
      </c>
      <c r="AZ56" s="177">
        <v>5</v>
      </c>
      <c r="BA56" s="177">
        <v>20</v>
      </c>
      <c r="BB56" s="177">
        <v>21</v>
      </c>
      <c r="BC56" s="177">
        <v>18</v>
      </c>
      <c r="BD56" s="177">
        <v>35</v>
      </c>
      <c r="BE56" s="177">
        <v>12</v>
      </c>
      <c r="BF56" s="179">
        <v>42</v>
      </c>
      <c r="BG56" s="177">
        <v>5</v>
      </c>
      <c r="BH56" s="177">
        <v>8</v>
      </c>
      <c r="BI56" s="177">
        <v>40</v>
      </c>
      <c r="BJ56" s="177">
        <v>27</v>
      </c>
      <c r="BK56" s="177">
        <v>5</v>
      </c>
      <c r="BL56" s="177">
        <v>9</v>
      </c>
      <c r="BM56" s="177">
        <v>26</v>
      </c>
      <c r="BN56" s="177">
        <v>47</v>
      </c>
      <c r="BO56" s="177">
        <v>3</v>
      </c>
      <c r="BP56" s="177">
        <v>26</v>
      </c>
      <c r="BQ56" s="177">
        <v>26</v>
      </c>
      <c r="BR56" s="179">
        <v>18</v>
      </c>
      <c r="BS56" s="177">
        <v>7</v>
      </c>
      <c r="BT56" s="177">
        <v>46</v>
      </c>
      <c r="BU56" s="177">
        <v>19</v>
      </c>
      <c r="BV56" s="177">
        <v>23</v>
      </c>
      <c r="BW56" s="177">
        <v>10</v>
      </c>
      <c r="BX56" s="177">
        <v>25</v>
      </c>
      <c r="BY56" s="177">
        <v>23</v>
      </c>
      <c r="BZ56" s="177">
        <v>64</v>
      </c>
      <c r="CA56" s="177">
        <v>26</v>
      </c>
      <c r="CB56" s="179">
        <v>37</v>
      </c>
      <c r="CC56" s="177">
        <v>42</v>
      </c>
      <c r="CD56" s="177">
        <v>22</v>
      </c>
      <c r="CE56" s="177">
        <v>53</v>
      </c>
      <c r="CF56" s="177">
        <v>1</v>
      </c>
      <c r="CG56" s="177">
        <v>33</v>
      </c>
      <c r="CH56" s="177">
        <v>31</v>
      </c>
      <c r="CI56" s="177">
        <v>33</v>
      </c>
      <c r="CJ56" s="177">
        <v>76</v>
      </c>
      <c r="CK56" s="178">
        <v>25</v>
      </c>
      <c r="CL56" s="180">
        <v>1136</v>
      </c>
    </row>
    <row r="57" spans="1:90">
      <c r="A57" s="93">
        <f>ROWS($A$3:A55)</f>
        <v>53</v>
      </c>
      <c r="B57" s="106"/>
      <c r="C57" s="243"/>
      <c r="D57" s="319" t="s">
        <v>1</v>
      </c>
      <c r="E57" s="320"/>
      <c r="F57" s="156">
        <v>14973.5</v>
      </c>
      <c r="G57" s="177">
        <v>19869.71</v>
      </c>
      <c r="H57" s="177">
        <v>31549.24</v>
      </c>
      <c r="I57" s="178">
        <v>19180.759999999998</v>
      </c>
      <c r="J57" s="181"/>
      <c r="K57" s="156">
        <f t="shared" si="109"/>
        <v>2051.1999999999998</v>
      </c>
      <c r="L57" s="177">
        <f t="shared" si="110"/>
        <v>833.37</v>
      </c>
      <c r="M57" s="177">
        <f t="shared" si="111"/>
        <v>1029.49</v>
      </c>
      <c r="N57" s="177">
        <f t="shared" si="112"/>
        <v>2876.77</v>
      </c>
      <c r="O57" s="177">
        <f t="shared" si="113"/>
        <v>771.29</v>
      </c>
      <c r="P57" s="177">
        <f>'2011'!AZ57+'2011'!BA57</f>
        <v>489.18999999999994</v>
      </c>
      <c r="Q57" s="177">
        <f>'2011'!AU57</f>
        <v>732.59</v>
      </c>
      <c r="R57" s="177">
        <f t="shared" si="114"/>
        <v>1999.5900000000001</v>
      </c>
      <c r="S57" s="177">
        <f t="shared" si="115"/>
        <v>2320.5700000000002</v>
      </c>
      <c r="T57" s="177">
        <f t="shared" si="116"/>
        <v>486.16</v>
      </c>
      <c r="U57" s="179">
        <f t="shared" si="116"/>
        <v>1383.29</v>
      </c>
      <c r="V57" s="177">
        <f t="shared" si="117"/>
        <v>4366.16</v>
      </c>
      <c r="W57" s="177">
        <f t="shared" si="118"/>
        <v>2903.2</v>
      </c>
      <c r="X57" s="177">
        <f t="shared" si="119"/>
        <v>3926.04</v>
      </c>
      <c r="Y57" s="177">
        <f t="shared" si="120"/>
        <v>3933.9500000000003</v>
      </c>
      <c r="Z57" s="177">
        <f t="shared" si="121"/>
        <v>924.79</v>
      </c>
      <c r="AA57" s="177">
        <f t="shared" si="122"/>
        <v>1560.84</v>
      </c>
      <c r="AB57" s="179">
        <f t="shared" si="123"/>
        <v>2254.73</v>
      </c>
      <c r="AC57" s="177">
        <f t="shared" si="124"/>
        <v>2050.66</v>
      </c>
      <c r="AD57" s="177">
        <f t="shared" si="125"/>
        <v>3872.7</v>
      </c>
      <c r="AE57" s="177">
        <f t="shared" si="126"/>
        <v>6237.73</v>
      </c>
      <c r="AF57" s="177">
        <f t="shared" si="127"/>
        <v>5977.45</v>
      </c>
      <c r="AG57" s="177">
        <f t="shared" si="128"/>
        <v>3504.74</v>
      </c>
      <c r="AH57" s="177">
        <f t="shared" si="129"/>
        <v>3668.21</v>
      </c>
      <c r="AI57" s="177">
        <f t="shared" si="130"/>
        <v>437.31</v>
      </c>
      <c r="AJ57" s="177">
        <f t="shared" si="131"/>
        <v>2149.71</v>
      </c>
      <c r="AK57" s="179">
        <f t="shared" si="132"/>
        <v>3650.72</v>
      </c>
      <c r="AL57" s="177">
        <f t="shared" si="133"/>
        <v>1560.55</v>
      </c>
      <c r="AM57" s="177">
        <f t="shared" si="134"/>
        <v>3573.62</v>
      </c>
      <c r="AN57" s="177">
        <f t="shared" si="135"/>
        <v>5868.79</v>
      </c>
      <c r="AO57" s="177">
        <f t="shared" si="136"/>
        <v>1974.11</v>
      </c>
      <c r="AP57" s="177">
        <f t="shared" si="136"/>
        <v>1187.6199999999999</v>
      </c>
      <c r="AQ57" s="177">
        <f t="shared" si="137"/>
        <v>2000.03</v>
      </c>
      <c r="AR57" s="177">
        <f t="shared" si="138"/>
        <v>1217.26</v>
      </c>
      <c r="AS57" s="178">
        <f t="shared" si="139"/>
        <v>1798.7800000000002</v>
      </c>
      <c r="AT57" s="177">
        <v>1353.19</v>
      </c>
      <c r="AU57" s="177">
        <v>732.59</v>
      </c>
      <c r="AV57" s="177">
        <v>2320.5700000000002</v>
      </c>
      <c r="AW57" s="177">
        <v>2876.77</v>
      </c>
      <c r="AX57" s="177">
        <v>646.4</v>
      </c>
      <c r="AY57" s="177">
        <v>833.37</v>
      </c>
      <c r="AZ57" s="177">
        <v>97.91</v>
      </c>
      <c r="BA57" s="177">
        <v>391.28</v>
      </c>
      <c r="BB57" s="177">
        <v>486.16</v>
      </c>
      <c r="BC57" s="177">
        <v>1383.29</v>
      </c>
      <c r="BD57" s="177">
        <v>1029.49</v>
      </c>
      <c r="BE57" s="177">
        <v>771.29</v>
      </c>
      <c r="BF57" s="179">
        <v>2051.1999999999998</v>
      </c>
      <c r="BG57" s="177">
        <v>439.87</v>
      </c>
      <c r="BH57" s="177">
        <v>720.58</v>
      </c>
      <c r="BI57" s="177">
        <v>3205.46</v>
      </c>
      <c r="BJ57" s="177">
        <v>3926.29</v>
      </c>
      <c r="BK57" s="177">
        <v>82.7</v>
      </c>
      <c r="BL57" s="177">
        <v>699.12</v>
      </c>
      <c r="BM57" s="177">
        <v>924.79</v>
      </c>
      <c r="BN57" s="177">
        <v>3152.13</v>
      </c>
      <c r="BO57" s="177">
        <v>194.28</v>
      </c>
      <c r="BP57" s="177">
        <v>2254.73</v>
      </c>
      <c r="BQ57" s="177">
        <v>1366.56</v>
      </c>
      <c r="BR57" s="179">
        <v>2903.2</v>
      </c>
      <c r="BS57" s="177">
        <v>683.11</v>
      </c>
      <c r="BT57" s="177">
        <v>5554.62</v>
      </c>
      <c r="BU57" s="177">
        <v>3872.7</v>
      </c>
      <c r="BV57" s="177">
        <v>3504.74</v>
      </c>
      <c r="BW57" s="177">
        <v>437.31</v>
      </c>
      <c r="BX57" s="177">
        <v>2050.66</v>
      </c>
      <c r="BY57" s="177">
        <v>2149.71</v>
      </c>
      <c r="BZ57" s="177">
        <v>3668.21</v>
      </c>
      <c r="CA57" s="177">
        <v>5977.45</v>
      </c>
      <c r="CB57" s="179">
        <v>3650.72</v>
      </c>
      <c r="CC57" s="177">
        <v>1974.11</v>
      </c>
      <c r="CD57" s="177">
        <v>1187.6199999999999</v>
      </c>
      <c r="CE57" s="177">
        <v>1560.55</v>
      </c>
      <c r="CF57" s="177">
        <v>39.4</v>
      </c>
      <c r="CG57" s="177">
        <v>1759.38</v>
      </c>
      <c r="CH57" s="177">
        <v>3573.62</v>
      </c>
      <c r="CI57" s="177">
        <v>1217.26</v>
      </c>
      <c r="CJ57" s="177">
        <v>5868.79</v>
      </c>
      <c r="CK57" s="178">
        <v>2000.03</v>
      </c>
      <c r="CL57" s="180">
        <v>86281.07</v>
      </c>
    </row>
    <row r="58" spans="1:90">
      <c r="A58" s="93">
        <f>ROWS($A$3:A56)</f>
        <v>54</v>
      </c>
      <c r="B58" s="106" t="s">
        <v>249</v>
      </c>
      <c r="C58" s="242">
        <v>2011</v>
      </c>
      <c r="D58" s="321" t="s">
        <v>14</v>
      </c>
      <c r="E58" s="322">
        <v>40836</v>
      </c>
      <c r="F58" s="156">
        <v>69</v>
      </c>
      <c r="G58" s="177">
        <v>71</v>
      </c>
      <c r="H58" s="177">
        <v>75</v>
      </c>
      <c r="I58" s="178">
        <v>85</v>
      </c>
      <c r="J58" s="181"/>
      <c r="K58" s="156">
        <f t="shared" si="109"/>
        <v>15</v>
      </c>
      <c r="L58" s="177">
        <f t="shared" si="110"/>
        <v>5</v>
      </c>
      <c r="M58" s="177">
        <f t="shared" si="111"/>
        <v>12</v>
      </c>
      <c r="N58" s="177">
        <f t="shared" si="112"/>
        <v>11</v>
      </c>
      <c r="O58" s="177">
        <f t="shared" si="113"/>
        <v>7</v>
      </c>
      <c r="P58" s="177">
        <f>'2011'!AZ58+'2011'!BA58</f>
        <v>14</v>
      </c>
      <c r="Q58" s="177">
        <f>'2011'!AU58</f>
        <v>5</v>
      </c>
      <c r="R58" s="177">
        <f t="shared" si="114"/>
        <v>12</v>
      </c>
      <c r="S58" s="177">
        <f t="shared" si="115"/>
        <v>11</v>
      </c>
      <c r="T58" s="177">
        <f t="shared" si="116"/>
        <v>10</v>
      </c>
      <c r="U58" s="179">
        <f t="shared" si="116"/>
        <v>13</v>
      </c>
      <c r="V58" s="177">
        <f t="shared" si="117"/>
        <v>21</v>
      </c>
      <c r="W58" s="177">
        <f t="shared" si="118"/>
        <v>11</v>
      </c>
      <c r="X58" s="177">
        <f t="shared" si="119"/>
        <v>30</v>
      </c>
      <c r="Y58" s="177">
        <f t="shared" si="120"/>
        <v>25</v>
      </c>
      <c r="Z58" s="177">
        <f t="shared" si="121"/>
        <v>12</v>
      </c>
      <c r="AA58" s="177">
        <f t="shared" si="122"/>
        <v>13</v>
      </c>
      <c r="AB58" s="179">
        <f t="shared" si="123"/>
        <v>9</v>
      </c>
      <c r="AC58" s="177">
        <f t="shared" si="124"/>
        <v>10</v>
      </c>
      <c r="AD58" s="177">
        <f t="shared" si="125"/>
        <v>10</v>
      </c>
      <c r="AE58" s="177">
        <f t="shared" si="126"/>
        <v>23</v>
      </c>
      <c r="AF58" s="177">
        <f t="shared" si="127"/>
        <v>11</v>
      </c>
      <c r="AG58" s="177">
        <f t="shared" si="128"/>
        <v>15</v>
      </c>
      <c r="AH58" s="177">
        <f t="shared" si="129"/>
        <v>10</v>
      </c>
      <c r="AI58" s="177">
        <f t="shared" si="130"/>
        <v>9</v>
      </c>
      <c r="AJ58" s="177">
        <f t="shared" si="131"/>
        <v>10</v>
      </c>
      <c r="AK58" s="179">
        <f t="shared" si="132"/>
        <v>17</v>
      </c>
      <c r="AL58" s="177">
        <f t="shared" si="133"/>
        <v>20</v>
      </c>
      <c r="AM58" s="177">
        <f t="shared" si="134"/>
        <v>12</v>
      </c>
      <c r="AN58" s="177">
        <f t="shared" si="135"/>
        <v>22</v>
      </c>
      <c r="AO58" s="177">
        <f t="shared" si="136"/>
        <v>20</v>
      </c>
      <c r="AP58" s="177">
        <f t="shared" si="136"/>
        <v>8</v>
      </c>
      <c r="AQ58" s="177">
        <f t="shared" si="137"/>
        <v>14</v>
      </c>
      <c r="AR58" s="177">
        <f t="shared" si="138"/>
        <v>11</v>
      </c>
      <c r="AS58" s="178">
        <f t="shared" si="139"/>
        <v>19</v>
      </c>
      <c r="AT58" s="177">
        <v>4</v>
      </c>
      <c r="AU58" s="177">
        <v>5</v>
      </c>
      <c r="AV58" s="181">
        <v>11</v>
      </c>
      <c r="AW58" s="181">
        <v>11</v>
      </c>
      <c r="AX58" s="181">
        <v>8</v>
      </c>
      <c r="AY58" s="181">
        <v>5</v>
      </c>
      <c r="AZ58" s="181">
        <v>3</v>
      </c>
      <c r="BA58" s="181">
        <v>11</v>
      </c>
      <c r="BB58" s="181">
        <v>10</v>
      </c>
      <c r="BC58" s="181">
        <v>13</v>
      </c>
      <c r="BD58" s="181">
        <v>12</v>
      </c>
      <c r="BE58" s="181">
        <v>7</v>
      </c>
      <c r="BF58" s="179">
        <v>15</v>
      </c>
      <c r="BG58" s="181">
        <v>6</v>
      </c>
      <c r="BH58" s="181">
        <v>9</v>
      </c>
      <c r="BI58" s="181">
        <v>21</v>
      </c>
      <c r="BJ58" s="181">
        <v>15</v>
      </c>
      <c r="BK58" s="181">
        <v>4</v>
      </c>
      <c r="BL58" s="181">
        <v>3</v>
      </c>
      <c r="BM58" s="181">
        <v>12</v>
      </c>
      <c r="BN58" s="181">
        <v>18</v>
      </c>
      <c r="BO58" s="181">
        <v>3</v>
      </c>
      <c r="BP58" s="181">
        <v>9</v>
      </c>
      <c r="BQ58" s="181">
        <v>10</v>
      </c>
      <c r="BR58" s="179">
        <v>11</v>
      </c>
      <c r="BS58" s="181">
        <v>5</v>
      </c>
      <c r="BT58" s="181">
        <v>18</v>
      </c>
      <c r="BU58" s="181">
        <v>10</v>
      </c>
      <c r="BV58" s="181">
        <v>15</v>
      </c>
      <c r="BW58" s="181">
        <v>9</v>
      </c>
      <c r="BX58" s="181">
        <v>10</v>
      </c>
      <c r="BY58" s="181">
        <v>10</v>
      </c>
      <c r="BZ58" s="181">
        <v>10</v>
      </c>
      <c r="CA58" s="181">
        <v>11</v>
      </c>
      <c r="CB58" s="179">
        <v>17</v>
      </c>
      <c r="CC58" s="181">
        <v>20</v>
      </c>
      <c r="CD58" s="181">
        <v>8</v>
      </c>
      <c r="CE58" s="181">
        <v>20</v>
      </c>
      <c r="CF58" s="181">
        <v>3</v>
      </c>
      <c r="CG58" s="181">
        <v>16</v>
      </c>
      <c r="CH58" s="181">
        <v>12</v>
      </c>
      <c r="CI58" s="181">
        <v>11</v>
      </c>
      <c r="CJ58" s="181">
        <v>22</v>
      </c>
      <c r="CK58" s="178">
        <v>14</v>
      </c>
      <c r="CL58" s="180">
        <v>300</v>
      </c>
    </row>
    <row r="59" spans="1:90">
      <c r="A59" s="93">
        <f>ROWS($A$3:A57)</f>
        <v>55</v>
      </c>
      <c r="B59" s="106"/>
      <c r="C59" s="241"/>
      <c r="D59" s="321" t="s">
        <v>1</v>
      </c>
      <c r="E59" s="320"/>
      <c r="F59" s="156">
        <v>92286.89</v>
      </c>
      <c r="G59" s="177">
        <v>93812.68</v>
      </c>
      <c r="H59" s="177">
        <v>131397.09</v>
      </c>
      <c r="I59" s="178">
        <v>94058.93</v>
      </c>
      <c r="J59" s="181"/>
      <c r="K59" s="156">
        <f t="shared" si="109"/>
        <v>10514.0848616332</v>
      </c>
      <c r="L59" s="177">
        <f t="shared" si="110"/>
        <v>3118.9839788331001</v>
      </c>
      <c r="M59" s="177">
        <f t="shared" si="111"/>
        <v>8156.1568828520003</v>
      </c>
      <c r="N59" s="177">
        <f t="shared" si="112"/>
        <v>9447.90927398649</v>
      </c>
      <c r="O59" s="177">
        <f t="shared" si="113"/>
        <v>7232.5078828524001</v>
      </c>
      <c r="P59" s="177">
        <f>'2011'!AZ59+'2011'!BA59</f>
        <v>11731.646883465999</v>
      </c>
      <c r="Q59" s="177">
        <f>'2011'!AU59</f>
        <v>6903.2617254364004</v>
      </c>
      <c r="R59" s="177">
        <f t="shared" si="114"/>
        <v>10448.371783771399</v>
      </c>
      <c r="S59" s="177">
        <f t="shared" si="115"/>
        <v>8991.7518148619001</v>
      </c>
      <c r="T59" s="177">
        <f t="shared" si="116"/>
        <v>8599.2624732380009</v>
      </c>
      <c r="U59" s="179">
        <f t="shared" si="116"/>
        <v>7142.9500235680998</v>
      </c>
      <c r="V59" s="177">
        <f t="shared" si="117"/>
        <v>13461.7490488004</v>
      </c>
      <c r="W59" s="177">
        <f t="shared" si="118"/>
        <v>3930.8866817062999</v>
      </c>
      <c r="X59" s="177">
        <f t="shared" si="119"/>
        <v>30112.655106490602</v>
      </c>
      <c r="Y59" s="177">
        <f t="shared" si="120"/>
        <v>19461.205763579703</v>
      </c>
      <c r="Z59" s="177">
        <f t="shared" si="121"/>
        <v>9694.1869237757001</v>
      </c>
      <c r="AA59" s="177">
        <f t="shared" si="122"/>
        <v>11746.1532117672</v>
      </c>
      <c r="AB59" s="179">
        <f t="shared" si="123"/>
        <v>5405.8429948985004</v>
      </c>
      <c r="AC59" s="177">
        <f t="shared" si="124"/>
        <v>8370.0470149258999</v>
      </c>
      <c r="AD59" s="177">
        <f t="shared" si="125"/>
        <v>10483.264491391999</v>
      </c>
      <c r="AE59" s="177">
        <f t="shared" si="126"/>
        <v>22710.122406597096</v>
      </c>
      <c r="AF59" s="177">
        <f t="shared" si="127"/>
        <v>15963.3913585147</v>
      </c>
      <c r="AG59" s="177">
        <f t="shared" si="128"/>
        <v>18197.2109896072</v>
      </c>
      <c r="AH59" s="177">
        <f t="shared" si="129"/>
        <v>14705.7313187543</v>
      </c>
      <c r="AI59" s="177">
        <f t="shared" si="130"/>
        <v>5990.7440859356002</v>
      </c>
      <c r="AJ59" s="177">
        <f t="shared" si="131"/>
        <v>12289.518744946199</v>
      </c>
      <c r="AK59" s="179">
        <f t="shared" si="132"/>
        <v>22687.055704322502</v>
      </c>
      <c r="AL59" s="177">
        <f t="shared" si="133"/>
        <v>12288.204825852299</v>
      </c>
      <c r="AM59" s="177">
        <f t="shared" si="134"/>
        <v>8184.5983018178003</v>
      </c>
      <c r="AN59" s="177">
        <f t="shared" si="135"/>
        <v>12894.7429296269</v>
      </c>
      <c r="AO59" s="177">
        <f t="shared" si="136"/>
        <v>22517.471888232802</v>
      </c>
      <c r="AP59" s="177">
        <f t="shared" si="136"/>
        <v>13063.2025363048</v>
      </c>
      <c r="AQ59" s="177">
        <f t="shared" si="137"/>
        <v>9769.8232242325994</v>
      </c>
      <c r="AR59" s="177">
        <f t="shared" si="138"/>
        <v>3900.7799452352001</v>
      </c>
      <c r="AS59" s="178">
        <f t="shared" si="139"/>
        <v>11440.1048846878</v>
      </c>
      <c r="AT59" s="177">
        <v>2318.4398999912</v>
      </c>
      <c r="AU59" s="177">
        <v>6903.2617254364004</v>
      </c>
      <c r="AV59" s="177">
        <v>8991.7518148619001</v>
      </c>
      <c r="AW59" s="177">
        <v>9447.90927398649</v>
      </c>
      <c r="AX59" s="177">
        <v>8129.9318837802002</v>
      </c>
      <c r="AY59" s="177">
        <v>3118.9839788331001</v>
      </c>
      <c r="AZ59" s="177">
        <v>1078.7210884946001</v>
      </c>
      <c r="BA59" s="177">
        <v>10652.925794971399</v>
      </c>
      <c r="BB59" s="177">
        <v>8599.2624732380009</v>
      </c>
      <c r="BC59" s="177">
        <v>7142.9500235680998</v>
      </c>
      <c r="BD59" s="177">
        <v>8156.1568828520003</v>
      </c>
      <c r="BE59" s="177">
        <v>7232.5078828524001</v>
      </c>
      <c r="BF59" s="179">
        <v>10514.0848616332</v>
      </c>
      <c r="BG59" s="177">
        <v>1427.2802447254001</v>
      </c>
      <c r="BH59" s="177">
        <v>4271.2493833193003</v>
      </c>
      <c r="BI59" s="177">
        <v>25841.405723171301</v>
      </c>
      <c r="BJ59" s="177">
        <v>12034.468804075001</v>
      </c>
      <c r="BK59" s="177">
        <v>2339.6957995201001</v>
      </c>
      <c r="BL59" s="177">
        <v>1635.3512122857001</v>
      </c>
      <c r="BM59" s="177">
        <v>9694.1869237757001</v>
      </c>
      <c r="BN59" s="177">
        <v>15486.158751773901</v>
      </c>
      <c r="BO59" s="177">
        <v>1436.2707530600001</v>
      </c>
      <c r="BP59" s="177">
        <v>5405.8429948985004</v>
      </c>
      <c r="BQ59" s="177">
        <v>10309.882458707199</v>
      </c>
      <c r="BR59" s="179">
        <v>3930.8866817062999</v>
      </c>
      <c r="BS59" s="177">
        <v>3158.094770275</v>
      </c>
      <c r="BT59" s="177">
        <v>19552.027636322098</v>
      </c>
      <c r="BU59" s="177">
        <v>10483.264491391999</v>
      </c>
      <c r="BV59" s="177">
        <v>18197.2109896072</v>
      </c>
      <c r="BW59" s="177">
        <v>5990.7440859356002</v>
      </c>
      <c r="BX59" s="177">
        <v>8370.0470149258999</v>
      </c>
      <c r="BY59" s="177">
        <v>12289.518744946199</v>
      </c>
      <c r="BZ59" s="177">
        <v>14705.7313187543</v>
      </c>
      <c r="CA59" s="177">
        <v>15963.3913585147</v>
      </c>
      <c r="CB59" s="179">
        <v>22687.055704322502</v>
      </c>
      <c r="CC59" s="177">
        <v>22517.471888232802</v>
      </c>
      <c r="CD59" s="177">
        <v>13063.2025363048</v>
      </c>
      <c r="CE59" s="177">
        <v>12288.204825852299</v>
      </c>
      <c r="CF59" s="177">
        <v>513.94041347070004</v>
      </c>
      <c r="CG59" s="177">
        <v>10926.1644712171</v>
      </c>
      <c r="CH59" s="177">
        <v>8184.5983018178003</v>
      </c>
      <c r="CI59" s="177">
        <v>3900.7799452352001</v>
      </c>
      <c r="CJ59" s="177">
        <v>12894.7429296269</v>
      </c>
      <c r="CK59" s="178">
        <v>9769.8232242325994</v>
      </c>
      <c r="CL59" s="180">
        <v>426223.94</v>
      </c>
    </row>
    <row r="60" spans="1:90">
      <c r="A60" s="93">
        <f>ROWS($A$3:A58)</f>
        <v>56</v>
      </c>
      <c r="B60" s="106" t="s">
        <v>250</v>
      </c>
      <c r="C60" s="242">
        <v>2011</v>
      </c>
      <c r="D60" s="321" t="s">
        <v>14</v>
      </c>
      <c r="E60" s="322">
        <v>40836</v>
      </c>
      <c r="F60" s="156">
        <v>21</v>
      </c>
      <c r="G60" s="181">
        <v>23</v>
      </c>
      <c r="H60" s="181">
        <v>34</v>
      </c>
      <c r="I60" s="178">
        <v>23</v>
      </c>
      <c r="J60" s="181"/>
      <c r="K60" s="156">
        <f t="shared" si="109"/>
        <v>6</v>
      </c>
      <c r="L60" s="177">
        <f t="shared" si="110"/>
        <v>2</v>
      </c>
      <c r="M60" s="177">
        <f t="shared" si="111"/>
        <v>2</v>
      </c>
      <c r="N60" s="177">
        <f t="shared" si="112"/>
        <v>3</v>
      </c>
      <c r="O60" s="177">
        <f t="shared" si="113"/>
        <v>3</v>
      </c>
      <c r="P60" s="177">
        <f>'2011'!AZ60+'2011'!BA60</f>
        <v>3</v>
      </c>
      <c r="Q60" s="177">
        <f>'2011'!AU60</f>
        <v>1</v>
      </c>
      <c r="R60" s="177">
        <f t="shared" si="114"/>
        <v>5</v>
      </c>
      <c r="S60" s="177">
        <f t="shared" si="115"/>
        <v>4</v>
      </c>
      <c r="T60" s="177">
        <f t="shared" si="116"/>
        <v>2</v>
      </c>
      <c r="U60" s="179">
        <f t="shared" si="116"/>
        <v>3</v>
      </c>
      <c r="V60" s="177">
        <f t="shared" si="117"/>
        <v>6</v>
      </c>
      <c r="W60" s="177">
        <f t="shared" si="118"/>
        <v>1</v>
      </c>
      <c r="X60" s="177">
        <f t="shared" si="119"/>
        <v>10</v>
      </c>
      <c r="Y60" s="177">
        <f t="shared" si="120"/>
        <v>9</v>
      </c>
      <c r="Z60" s="177">
        <f t="shared" si="121"/>
        <v>3</v>
      </c>
      <c r="AA60" s="177">
        <f t="shared" si="122"/>
        <v>3</v>
      </c>
      <c r="AB60" s="179">
        <f t="shared" si="123"/>
        <v>2</v>
      </c>
      <c r="AC60" s="177">
        <f t="shared" si="124"/>
        <v>3</v>
      </c>
      <c r="AD60" s="177">
        <f t="shared" si="125"/>
        <v>7</v>
      </c>
      <c r="AE60" s="177">
        <f t="shared" si="126"/>
        <v>14</v>
      </c>
      <c r="AF60" s="177">
        <f t="shared" si="127"/>
        <v>3</v>
      </c>
      <c r="AG60" s="177">
        <f t="shared" si="128"/>
        <v>12</v>
      </c>
      <c r="AH60" s="177">
        <f t="shared" si="129"/>
        <v>6</v>
      </c>
      <c r="AI60" s="177">
        <f t="shared" si="130"/>
        <v>6</v>
      </c>
      <c r="AJ60" s="177">
        <f t="shared" si="131"/>
        <v>3</v>
      </c>
      <c r="AK60" s="179">
        <f t="shared" si="132"/>
        <v>2</v>
      </c>
      <c r="AL60" s="177">
        <f t="shared" si="133"/>
        <v>3</v>
      </c>
      <c r="AM60" s="177">
        <f t="shared" si="134"/>
        <v>3</v>
      </c>
      <c r="AN60" s="177">
        <f t="shared" si="135"/>
        <v>7</v>
      </c>
      <c r="AO60" s="177">
        <f t="shared" si="136"/>
        <v>3</v>
      </c>
      <c r="AP60" s="177">
        <f t="shared" si="136"/>
        <v>5</v>
      </c>
      <c r="AQ60" s="177">
        <f t="shared" si="137"/>
        <v>3</v>
      </c>
      <c r="AR60" s="177">
        <f t="shared" si="138"/>
        <v>3</v>
      </c>
      <c r="AS60" s="178">
        <f t="shared" si="139"/>
        <v>6</v>
      </c>
      <c r="AT60" s="177">
        <v>1</v>
      </c>
      <c r="AU60" s="181">
        <v>1</v>
      </c>
      <c r="AV60" s="181">
        <v>4</v>
      </c>
      <c r="AW60" s="181">
        <v>3</v>
      </c>
      <c r="AX60" s="181">
        <v>4</v>
      </c>
      <c r="AY60" s="181">
        <v>2</v>
      </c>
      <c r="AZ60" s="181">
        <v>0</v>
      </c>
      <c r="BA60" s="181">
        <v>3</v>
      </c>
      <c r="BB60" s="181">
        <v>2</v>
      </c>
      <c r="BC60" s="181">
        <v>3</v>
      </c>
      <c r="BD60" s="181">
        <v>2</v>
      </c>
      <c r="BE60" s="181">
        <v>3</v>
      </c>
      <c r="BF60" s="179">
        <v>6</v>
      </c>
      <c r="BG60" s="181">
        <v>1</v>
      </c>
      <c r="BH60" s="181">
        <v>4</v>
      </c>
      <c r="BI60" s="181">
        <v>6</v>
      </c>
      <c r="BJ60" s="181">
        <v>5</v>
      </c>
      <c r="BK60" s="181">
        <v>1</v>
      </c>
      <c r="BL60" s="181">
        <v>1</v>
      </c>
      <c r="BM60" s="181">
        <v>3</v>
      </c>
      <c r="BN60" s="181">
        <v>7</v>
      </c>
      <c r="BO60" s="181"/>
      <c r="BP60" s="181">
        <v>2</v>
      </c>
      <c r="BQ60" s="181">
        <v>3</v>
      </c>
      <c r="BR60" s="179">
        <v>1</v>
      </c>
      <c r="BS60" s="181">
        <v>3</v>
      </c>
      <c r="BT60" s="181">
        <v>11</v>
      </c>
      <c r="BU60" s="181">
        <v>7</v>
      </c>
      <c r="BV60" s="181">
        <v>12</v>
      </c>
      <c r="BW60" s="181">
        <v>6</v>
      </c>
      <c r="BX60" s="181">
        <v>3</v>
      </c>
      <c r="BY60" s="181">
        <v>3</v>
      </c>
      <c r="BZ60" s="181">
        <v>6</v>
      </c>
      <c r="CA60" s="181">
        <v>3</v>
      </c>
      <c r="CB60" s="179">
        <v>2</v>
      </c>
      <c r="CC60" s="181">
        <v>3</v>
      </c>
      <c r="CD60" s="181">
        <v>5</v>
      </c>
      <c r="CE60" s="181">
        <v>3</v>
      </c>
      <c r="CF60" s="181">
        <v>1</v>
      </c>
      <c r="CG60" s="181">
        <v>5</v>
      </c>
      <c r="CH60" s="181">
        <v>3</v>
      </c>
      <c r="CI60" s="181">
        <v>3</v>
      </c>
      <c r="CJ60" s="181">
        <v>7</v>
      </c>
      <c r="CK60" s="178">
        <v>3</v>
      </c>
      <c r="CL60" s="180">
        <v>101</v>
      </c>
    </row>
    <row r="61" spans="1:90">
      <c r="A61" s="93">
        <f>ROWS($A$3:A59)</f>
        <v>57</v>
      </c>
      <c r="B61" s="59"/>
      <c r="C61" s="241"/>
      <c r="D61" s="321" t="s">
        <v>1</v>
      </c>
      <c r="E61" s="320"/>
      <c r="F61" s="156">
        <v>69152.55</v>
      </c>
      <c r="G61" s="177">
        <v>41762.43</v>
      </c>
      <c r="H61" s="177">
        <v>181973.33</v>
      </c>
      <c r="I61" s="178">
        <v>83744</v>
      </c>
      <c r="J61" s="181"/>
      <c r="K61" s="156">
        <f t="shared" si="109"/>
        <v>3640.5994290985</v>
      </c>
      <c r="L61" s="177">
        <f t="shared" si="110"/>
        <v>2438.3136599405002</v>
      </c>
      <c r="M61" s="177">
        <f t="shared" si="111"/>
        <v>2670.3195366896002</v>
      </c>
      <c r="N61" s="177">
        <f t="shared" si="112"/>
        <v>18786.683837996901</v>
      </c>
      <c r="O61" s="177">
        <f t="shared" si="113"/>
        <v>7507.4710391156004</v>
      </c>
      <c r="P61" s="177">
        <f>'2011'!AZ61+'2011'!BA61</f>
        <v>2511.9478698377002</v>
      </c>
      <c r="Q61" s="177">
        <f>'2011'!AU61</f>
        <v>5384.5298784226998</v>
      </c>
      <c r="R61" s="177">
        <f t="shared" si="114"/>
        <v>6609.3052492992001</v>
      </c>
      <c r="S61" s="177">
        <f t="shared" si="115"/>
        <v>17682.189973978398</v>
      </c>
      <c r="T61" s="177">
        <f t="shared" si="116"/>
        <v>713.74209477930003</v>
      </c>
      <c r="U61" s="179">
        <f t="shared" si="116"/>
        <v>1207.4505157019</v>
      </c>
      <c r="V61" s="177">
        <f t="shared" si="117"/>
        <v>9900.4399746990002</v>
      </c>
      <c r="W61" s="177">
        <f t="shared" si="118"/>
        <v>7573.4018909245997</v>
      </c>
      <c r="X61" s="177">
        <f t="shared" si="119"/>
        <v>12530.1999913738</v>
      </c>
      <c r="Y61" s="177">
        <f t="shared" si="120"/>
        <v>6488.9607463743996</v>
      </c>
      <c r="Z61" s="177">
        <f t="shared" si="121"/>
        <v>218.49048465249999</v>
      </c>
      <c r="AA61" s="177">
        <f t="shared" si="122"/>
        <v>2407.1023463197998</v>
      </c>
      <c r="AB61" s="179">
        <f t="shared" si="123"/>
        <v>2643.8364706858001</v>
      </c>
      <c r="AC61" s="177">
        <f t="shared" si="124"/>
        <v>50305.849584941498</v>
      </c>
      <c r="AD61" s="177">
        <f t="shared" si="125"/>
        <v>12559.8536271513</v>
      </c>
      <c r="AE61" s="177">
        <f t="shared" si="126"/>
        <v>29117.771517075402</v>
      </c>
      <c r="AF61" s="177">
        <f t="shared" si="127"/>
        <v>11381.724682945</v>
      </c>
      <c r="AG61" s="177">
        <f t="shared" si="128"/>
        <v>27564.806430484699</v>
      </c>
      <c r="AH61" s="177">
        <f t="shared" si="129"/>
        <v>9555.3166355496996</v>
      </c>
      <c r="AI61" s="177">
        <f t="shared" si="130"/>
        <v>3426.6761712292</v>
      </c>
      <c r="AJ61" s="177">
        <f t="shared" si="131"/>
        <v>20646.152337914998</v>
      </c>
      <c r="AK61" s="179">
        <f t="shared" si="132"/>
        <v>17415.176874928398</v>
      </c>
      <c r="AL61" s="177">
        <f t="shared" si="133"/>
        <v>19750.628003054801</v>
      </c>
      <c r="AM61" s="177">
        <f t="shared" si="134"/>
        <v>2982.4588136552002</v>
      </c>
      <c r="AN61" s="177">
        <f t="shared" si="135"/>
        <v>8762.4028419921997</v>
      </c>
      <c r="AO61" s="177">
        <f t="shared" si="136"/>
        <v>21921.1036261156</v>
      </c>
      <c r="AP61" s="177">
        <f t="shared" si="136"/>
        <v>13710.3889004105</v>
      </c>
      <c r="AQ61" s="177">
        <f t="shared" si="137"/>
        <v>8600.4111832252001</v>
      </c>
      <c r="AR61" s="177">
        <f t="shared" si="138"/>
        <v>882.97538220659999</v>
      </c>
      <c r="AS61" s="178">
        <f t="shared" si="139"/>
        <v>7133.6289120625006</v>
      </c>
      <c r="AT61" s="177">
        <v>3.0137999999999998</v>
      </c>
      <c r="AU61" s="177">
        <v>5384.5298784226998</v>
      </c>
      <c r="AV61" s="177">
        <v>17682.189973978398</v>
      </c>
      <c r="AW61" s="177">
        <v>18786.683837996901</v>
      </c>
      <c r="AX61" s="177">
        <v>6606.2914492992004</v>
      </c>
      <c r="AY61" s="177">
        <v>2438.3136599405002</v>
      </c>
      <c r="AZ61" s="177">
        <v>0</v>
      </c>
      <c r="BA61" s="177">
        <v>2511.9478698377002</v>
      </c>
      <c r="BB61" s="177">
        <v>713.74209477930003</v>
      </c>
      <c r="BC61" s="177">
        <v>1207.4505157019</v>
      </c>
      <c r="BD61" s="177">
        <v>2670.3195366896002</v>
      </c>
      <c r="BE61" s="177">
        <v>7507.4710391156004</v>
      </c>
      <c r="BF61" s="179">
        <v>3640.5994290985</v>
      </c>
      <c r="BG61" s="177">
        <v>365.5694995348</v>
      </c>
      <c r="BH61" s="177">
        <v>2893.5880259496998</v>
      </c>
      <c r="BI61" s="177">
        <v>9636.6119654240993</v>
      </c>
      <c r="BJ61" s="177">
        <v>9534.8704751641999</v>
      </c>
      <c r="BK61" s="177">
        <v>3.9557544061000001</v>
      </c>
      <c r="BL61" s="177">
        <v>418.254256134</v>
      </c>
      <c r="BM61" s="177">
        <v>218.49048465249999</v>
      </c>
      <c r="BN61" s="177">
        <v>6066.7507358343</v>
      </c>
      <c r="BO61" s="177"/>
      <c r="BP61" s="177">
        <v>2643.8364706858001</v>
      </c>
      <c r="BQ61" s="177">
        <v>2407.1023463197998</v>
      </c>
      <c r="BR61" s="179">
        <v>7573.4018909245997</v>
      </c>
      <c r="BS61" s="177">
        <v>2995.6705828342001</v>
      </c>
      <c r="BT61" s="177">
        <v>26122.1009342412</v>
      </c>
      <c r="BU61" s="177">
        <v>12559.8536271513</v>
      </c>
      <c r="BV61" s="177">
        <v>27564.806430484699</v>
      </c>
      <c r="BW61" s="177">
        <v>3426.6761712292</v>
      </c>
      <c r="BX61" s="177">
        <v>50305.849584941498</v>
      </c>
      <c r="BY61" s="177">
        <v>20646.152337914998</v>
      </c>
      <c r="BZ61" s="177">
        <v>9555.3166355496996</v>
      </c>
      <c r="CA61" s="177">
        <v>11381.724682945</v>
      </c>
      <c r="CB61" s="179">
        <v>17415.176874928398</v>
      </c>
      <c r="CC61" s="177">
        <v>21921.1036261156</v>
      </c>
      <c r="CD61" s="177">
        <v>13710.3889004105</v>
      </c>
      <c r="CE61" s="177">
        <v>19750.628003054801</v>
      </c>
      <c r="CF61" s="177">
        <v>132.02297042039999</v>
      </c>
      <c r="CG61" s="177">
        <v>7001.6059416421003</v>
      </c>
      <c r="CH61" s="177">
        <v>2982.4588136552002</v>
      </c>
      <c r="CI61" s="177">
        <v>882.97538220659999</v>
      </c>
      <c r="CJ61" s="177">
        <v>8762.4028419921997</v>
      </c>
      <c r="CK61" s="178">
        <v>8600.4111832252001</v>
      </c>
      <c r="CL61" s="180">
        <v>397044.05</v>
      </c>
    </row>
    <row r="62" spans="1:90">
      <c r="A62" s="93">
        <f>ROWS($A$3:A60)</f>
        <v>58</v>
      </c>
      <c r="B62" s="106" t="s">
        <v>59</v>
      </c>
      <c r="C62" s="242">
        <v>2010</v>
      </c>
      <c r="D62" s="319" t="s">
        <v>14</v>
      </c>
      <c r="E62" s="322">
        <v>40695</v>
      </c>
      <c r="F62" s="156">
        <v>787</v>
      </c>
      <c r="G62" s="177">
        <v>403</v>
      </c>
      <c r="H62" s="177">
        <v>1002</v>
      </c>
      <c r="I62" s="178">
        <v>385</v>
      </c>
      <c r="J62" s="181"/>
      <c r="K62" s="156">
        <f t="shared" si="109"/>
        <v>85</v>
      </c>
      <c r="L62" s="177">
        <f t="shared" si="110"/>
        <v>181</v>
      </c>
      <c r="M62" s="177">
        <f t="shared" si="111"/>
        <v>51</v>
      </c>
      <c r="N62" s="177">
        <f t="shared" si="112"/>
        <v>42</v>
      </c>
      <c r="O62" s="177">
        <f t="shared" si="113"/>
        <v>17</v>
      </c>
      <c r="P62" s="177">
        <f>'2011'!AZ62+'2011'!BA62</f>
        <v>118</v>
      </c>
      <c r="Q62" s="177">
        <f>'2011'!AU62</f>
        <v>29</v>
      </c>
      <c r="R62" s="177">
        <f t="shared" si="114"/>
        <v>51</v>
      </c>
      <c r="S62" s="177">
        <f t="shared" si="115"/>
        <v>43</v>
      </c>
      <c r="T62" s="177">
        <f t="shared" si="116"/>
        <v>77</v>
      </c>
      <c r="U62" s="179">
        <f t="shared" si="116"/>
        <v>93</v>
      </c>
      <c r="V62" s="177">
        <f t="shared" si="117"/>
        <v>80</v>
      </c>
      <c r="W62" s="177">
        <f t="shared" si="118"/>
        <v>49</v>
      </c>
      <c r="X62" s="177">
        <f t="shared" si="119"/>
        <v>54</v>
      </c>
      <c r="Y62" s="177">
        <f t="shared" si="120"/>
        <v>67</v>
      </c>
      <c r="Z62" s="177">
        <f t="shared" si="121"/>
        <v>41</v>
      </c>
      <c r="AA62" s="177">
        <f t="shared" si="122"/>
        <v>50</v>
      </c>
      <c r="AB62" s="179">
        <f t="shared" si="123"/>
        <v>62</v>
      </c>
      <c r="AC62" s="177">
        <f t="shared" si="124"/>
        <v>123</v>
      </c>
      <c r="AD62" s="177">
        <f t="shared" si="125"/>
        <v>77</v>
      </c>
      <c r="AE62" s="177">
        <f t="shared" si="126"/>
        <v>131</v>
      </c>
      <c r="AF62" s="177">
        <f t="shared" si="127"/>
        <v>134</v>
      </c>
      <c r="AG62" s="177">
        <f t="shared" si="128"/>
        <v>139</v>
      </c>
      <c r="AH62" s="177">
        <f t="shared" si="129"/>
        <v>102</v>
      </c>
      <c r="AI62" s="177">
        <f t="shared" si="130"/>
        <v>43</v>
      </c>
      <c r="AJ62" s="177">
        <f t="shared" si="131"/>
        <v>65</v>
      </c>
      <c r="AK62" s="179">
        <f t="shared" si="132"/>
        <v>188</v>
      </c>
      <c r="AL62" s="177">
        <f t="shared" si="133"/>
        <v>41</v>
      </c>
      <c r="AM62" s="177">
        <f t="shared" si="134"/>
        <v>49</v>
      </c>
      <c r="AN62" s="177">
        <f t="shared" si="135"/>
        <v>82</v>
      </c>
      <c r="AO62" s="177">
        <f t="shared" si="136"/>
        <v>47</v>
      </c>
      <c r="AP62" s="177">
        <f t="shared" si="136"/>
        <v>13</v>
      </c>
      <c r="AQ62" s="177">
        <f t="shared" si="137"/>
        <v>66</v>
      </c>
      <c r="AR62" s="177">
        <f t="shared" si="138"/>
        <v>44</v>
      </c>
      <c r="AS62" s="178">
        <f t="shared" si="139"/>
        <v>43</v>
      </c>
      <c r="AT62" s="177">
        <v>4</v>
      </c>
      <c r="AU62" s="177">
        <v>29</v>
      </c>
      <c r="AV62" s="177">
        <v>43</v>
      </c>
      <c r="AW62" s="177">
        <v>42</v>
      </c>
      <c r="AX62" s="177">
        <v>47</v>
      </c>
      <c r="AY62" s="177">
        <v>181</v>
      </c>
      <c r="AZ62" s="177">
        <v>8</v>
      </c>
      <c r="BA62" s="177">
        <v>110</v>
      </c>
      <c r="BB62" s="177">
        <v>77</v>
      </c>
      <c r="BC62" s="177">
        <v>93</v>
      </c>
      <c r="BD62" s="177">
        <v>51</v>
      </c>
      <c r="BE62" s="177">
        <v>17</v>
      </c>
      <c r="BF62" s="179">
        <v>85</v>
      </c>
      <c r="BG62" s="177">
        <v>10</v>
      </c>
      <c r="BH62" s="177">
        <v>4</v>
      </c>
      <c r="BI62" s="177">
        <v>50</v>
      </c>
      <c r="BJ62" s="177">
        <v>70</v>
      </c>
      <c r="BK62" s="177">
        <v>9</v>
      </c>
      <c r="BL62" s="177">
        <v>3</v>
      </c>
      <c r="BM62" s="177">
        <v>41</v>
      </c>
      <c r="BN62" s="177">
        <v>55</v>
      </c>
      <c r="BO62" s="177">
        <v>7</v>
      </c>
      <c r="BP62" s="177">
        <v>62</v>
      </c>
      <c r="BQ62" s="177">
        <v>43</v>
      </c>
      <c r="BR62" s="179">
        <v>49</v>
      </c>
      <c r="BS62" s="177">
        <v>9</v>
      </c>
      <c r="BT62" s="177">
        <v>122</v>
      </c>
      <c r="BU62" s="177">
        <v>77</v>
      </c>
      <c r="BV62" s="177">
        <v>139</v>
      </c>
      <c r="BW62" s="177">
        <v>43</v>
      </c>
      <c r="BX62" s="177">
        <v>123</v>
      </c>
      <c r="BY62" s="177">
        <v>65</v>
      </c>
      <c r="BZ62" s="177">
        <v>102</v>
      </c>
      <c r="CA62" s="177">
        <v>134</v>
      </c>
      <c r="CB62" s="179">
        <v>188</v>
      </c>
      <c r="CC62" s="177">
        <v>47</v>
      </c>
      <c r="CD62" s="177">
        <v>13</v>
      </c>
      <c r="CE62" s="177">
        <v>41</v>
      </c>
      <c r="CF62" s="177">
        <v>3</v>
      </c>
      <c r="CG62" s="177">
        <v>40</v>
      </c>
      <c r="CH62" s="177">
        <v>49</v>
      </c>
      <c r="CI62" s="177">
        <v>44</v>
      </c>
      <c r="CJ62" s="177">
        <v>82</v>
      </c>
      <c r="CK62" s="178">
        <v>66</v>
      </c>
      <c r="CL62" s="180">
        <v>2577</v>
      </c>
    </row>
    <row r="63" spans="1:90">
      <c r="A63" s="93">
        <f>ROWS($A$3:A61)</f>
        <v>59</v>
      </c>
      <c r="B63" s="106"/>
      <c r="C63" s="243"/>
      <c r="D63" s="319" t="s">
        <v>1</v>
      </c>
      <c r="E63" s="320"/>
      <c r="F63" s="156">
        <v>281340</v>
      </c>
      <c r="G63" s="177">
        <v>198590</v>
      </c>
      <c r="H63" s="177">
        <v>152061</v>
      </c>
      <c r="I63" s="178">
        <v>300773</v>
      </c>
      <c r="J63" s="181"/>
      <c r="K63" s="156">
        <f t="shared" si="109"/>
        <v>39949</v>
      </c>
      <c r="L63" s="177">
        <f t="shared" si="110"/>
        <v>7799</v>
      </c>
      <c r="M63" s="177">
        <f t="shared" si="111"/>
        <v>51768</v>
      </c>
      <c r="N63" s="177">
        <f t="shared" si="112"/>
        <v>21225</v>
      </c>
      <c r="O63" s="177">
        <f t="shared" si="113"/>
        <v>59293</v>
      </c>
      <c r="P63" s="177">
        <f>'2011'!AZ63+'2011'!BA63</f>
        <v>27440</v>
      </c>
      <c r="Q63" s="177">
        <f>'2011'!AU63</f>
        <v>26703</v>
      </c>
      <c r="R63" s="177">
        <f t="shared" si="114"/>
        <v>17224</v>
      </c>
      <c r="S63" s="177">
        <f t="shared" si="115"/>
        <v>9237</v>
      </c>
      <c r="T63" s="177">
        <f t="shared" si="116"/>
        <v>13258</v>
      </c>
      <c r="U63" s="179">
        <f t="shared" si="116"/>
        <v>7444</v>
      </c>
      <c r="V63" s="177">
        <f t="shared" si="117"/>
        <v>19319</v>
      </c>
      <c r="W63" s="177">
        <f t="shared" si="118"/>
        <v>16339</v>
      </c>
      <c r="X63" s="177">
        <f t="shared" si="119"/>
        <v>43301</v>
      </c>
      <c r="Y63" s="177">
        <f t="shared" si="120"/>
        <v>41183</v>
      </c>
      <c r="Z63" s="177">
        <f t="shared" si="121"/>
        <v>29380</v>
      </c>
      <c r="AA63" s="177">
        <f t="shared" si="122"/>
        <v>26209</v>
      </c>
      <c r="AB63" s="179">
        <f t="shared" si="123"/>
        <v>22860</v>
      </c>
      <c r="AC63" s="177">
        <f t="shared" si="124"/>
        <v>17562</v>
      </c>
      <c r="AD63" s="177">
        <f t="shared" si="125"/>
        <v>8039</v>
      </c>
      <c r="AE63" s="177">
        <f t="shared" si="126"/>
        <v>19005</v>
      </c>
      <c r="AF63" s="177">
        <f t="shared" si="127"/>
        <v>10140</v>
      </c>
      <c r="AG63" s="177">
        <f t="shared" si="128"/>
        <v>18925</v>
      </c>
      <c r="AH63" s="177">
        <f t="shared" si="129"/>
        <v>24693</v>
      </c>
      <c r="AI63" s="177">
        <f t="shared" si="130"/>
        <v>17872</v>
      </c>
      <c r="AJ63" s="177">
        <f t="shared" si="131"/>
        <v>14632</v>
      </c>
      <c r="AK63" s="179">
        <f t="shared" si="132"/>
        <v>21193</v>
      </c>
      <c r="AL63" s="177">
        <f t="shared" si="133"/>
        <v>30522</v>
      </c>
      <c r="AM63" s="177">
        <f t="shared" si="134"/>
        <v>26135</v>
      </c>
      <c r="AN63" s="177">
        <f t="shared" si="135"/>
        <v>20579</v>
      </c>
      <c r="AO63" s="177">
        <f t="shared" si="136"/>
        <v>65501</v>
      </c>
      <c r="AP63" s="177">
        <f t="shared" si="136"/>
        <v>12089</v>
      </c>
      <c r="AQ63" s="177">
        <f t="shared" si="137"/>
        <v>43410</v>
      </c>
      <c r="AR63" s="177">
        <f t="shared" si="138"/>
        <v>8478</v>
      </c>
      <c r="AS63" s="178">
        <f t="shared" si="139"/>
        <v>94058</v>
      </c>
      <c r="AT63" s="177">
        <v>1265</v>
      </c>
      <c r="AU63" s="177">
        <v>26703</v>
      </c>
      <c r="AV63" s="177">
        <v>9237</v>
      </c>
      <c r="AW63" s="177">
        <v>21225</v>
      </c>
      <c r="AX63" s="177">
        <v>15959</v>
      </c>
      <c r="AY63" s="177">
        <v>7799</v>
      </c>
      <c r="AZ63" s="177">
        <v>2749</v>
      </c>
      <c r="BA63" s="177">
        <v>24691</v>
      </c>
      <c r="BB63" s="177">
        <v>13258</v>
      </c>
      <c r="BC63" s="177">
        <v>7444</v>
      </c>
      <c r="BD63" s="177">
        <v>51768</v>
      </c>
      <c r="BE63" s="177">
        <v>59293</v>
      </c>
      <c r="BF63" s="179">
        <v>39949</v>
      </c>
      <c r="BG63" s="177">
        <v>3662</v>
      </c>
      <c r="BH63" s="177">
        <v>6757</v>
      </c>
      <c r="BI63" s="177">
        <v>36544</v>
      </c>
      <c r="BJ63" s="177">
        <v>15657</v>
      </c>
      <c r="BK63" s="177">
        <v>4245</v>
      </c>
      <c r="BL63" s="177">
        <v>2329</v>
      </c>
      <c r="BM63" s="177">
        <v>29380</v>
      </c>
      <c r="BN63" s="177">
        <v>34609</v>
      </c>
      <c r="BO63" s="177">
        <v>3968</v>
      </c>
      <c r="BP63" s="177">
        <v>22860</v>
      </c>
      <c r="BQ63" s="177">
        <v>22241</v>
      </c>
      <c r="BR63" s="179">
        <v>16339</v>
      </c>
      <c r="BS63" s="177">
        <v>1786</v>
      </c>
      <c r="BT63" s="177">
        <v>17219</v>
      </c>
      <c r="BU63" s="177">
        <v>8039</v>
      </c>
      <c r="BV63" s="177">
        <v>18925</v>
      </c>
      <c r="BW63" s="177">
        <v>17872</v>
      </c>
      <c r="BX63" s="177">
        <v>17562</v>
      </c>
      <c r="BY63" s="177">
        <v>14632</v>
      </c>
      <c r="BZ63" s="177">
        <v>24693</v>
      </c>
      <c r="CA63" s="177">
        <v>10140</v>
      </c>
      <c r="CB63" s="179">
        <v>21193</v>
      </c>
      <c r="CC63" s="177">
        <v>65501</v>
      </c>
      <c r="CD63" s="177">
        <v>12089</v>
      </c>
      <c r="CE63" s="177">
        <v>30522</v>
      </c>
      <c r="CF63" s="177">
        <v>827</v>
      </c>
      <c r="CG63" s="177">
        <v>93231</v>
      </c>
      <c r="CH63" s="177">
        <v>26135</v>
      </c>
      <c r="CI63" s="177">
        <v>8478</v>
      </c>
      <c r="CJ63" s="177">
        <v>20579</v>
      </c>
      <c r="CK63" s="178">
        <v>43410</v>
      </c>
      <c r="CL63" s="180">
        <v>932763</v>
      </c>
    </row>
    <row r="64" spans="1:90">
      <c r="A64" s="93">
        <f>ROWS($A$3:A62)</f>
        <v>60</v>
      </c>
      <c r="B64" s="67" t="s">
        <v>86</v>
      </c>
      <c r="C64" s="241"/>
      <c r="D64" s="321"/>
      <c r="E64" s="320"/>
      <c r="F64" s="156"/>
      <c r="G64" s="177"/>
      <c r="H64" s="177"/>
      <c r="I64" s="178"/>
      <c r="J64" s="181"/>
      <c r="K64" s="156"/>
      <c r="L64" s="177"/>
      <c r="M64" s="177"/>
      <c r="N64" s="177"/>
      <c r="O64" s="177"/>
      <c r="P64" s="177"/>
      <c r="Q64" s="177"/>
      <c r="R64" s="177"/>
      <c r="S64" s="177"/>
      <c r="T64" s="177"/>
      <c r="U64" s="179"/>
      <c r="V64" s="177"/>
      <c r="W64" s="177"/>
      <c r="X64" s="177"/>
      <c r="Y64" s="177"/>
      <c r="Z64" s="177"/>
      <c r="AA64" s="177"/>
      <c r="AB64" s="179"/>
      <c r="AC64" s="177"/>
      <c r="AD64" s="177"/>
      <c r="AE64" s="177"/>
      <c r="AF64" s="177"/>
      <c r="AG64" s="177"/>
      <c r="AH64" s="177"/>
      <c r="AI64" s="177"/>
      <c r="AJ64" s="177"/>
      <c r="AK64" s="179"/>
      <c r="AL64" s="177"/>
      <c r="AM64" s="177"/>
      <c r="AN64" s="177"/>
      <c r="AO64" s="177"/>
      <c r="AP64" s="177"/>
      <c r="AQ64" s="177"/>
      <c r="AR64" s="177"/>
      <c r="AS64" s="178"/>
      <c r="AT64" s="177"/>
      <c r="AU64" s="177"/>
      <c r="AV64" s="177"/>
      <c r="AW64" s="177"/>
      <c r="AX64" s="177"/>
      <c r="AY64" s="177"/>
      <c r="AZ64" s="177"/>
      <c r="BA64" s="177"/>
      <c r="BB64" s="177"/>
      <c r="BC64" s="177"/>
      <c r="BD64" s="177"/>
      <c r="BE64" s="177"/>
      <c r="BF64" s="179"/>
      <c r="BG64" s="177"/>
      <c r="BH64" s="177"/>
      <c r="BI64" s="177"/>
      <c r="BJ64" s="177"/>
      <c r="BK64" s="177"/>
      <c r="BL64" s="177"/>
      <c r="BM64" s="177"/>
      <c r="BN64" s="177"/>
      <c r="BO64" s="177"/>
      <c r="BP64" s="177"/>
      <c r="BQ64" s="177"/>
      <c r="BR64" s="179"/>
      <c r="BS64" s="177"/>
      <c r="BT64" s="177"/>
      <c r="BU64" s="177"/>
      <c r="BV64" s="177"/>
      <c r="BW64" s="177"/>
      <c r="BX64" s="177"/>
      <c r="BY64" s="177"/>
      <c r="BZ64" s="177"/>
      <c r="CA64" s="177"/>
      <c r="CB64" s="179"/>
      <c r="CC64" s="177"/>
      <c r="CD64" s="177"/>
      <c r="CE64" s="177"/>
      <c r="CF64" s="177"/>
      <c r="CG64" s="177"/>
      <c r="CH64" s="177"/>
      <c r="CI64" s="177"/>
      <c r="CJ64" s="177"/>
      <c r="CK64" s="178"/>
      <c r="CL64" s="180"/>
    </row>
    <row r="65" spans="1:90">
      <c r="A65" s="93">
        <f>ROWS($A$3:A63)</f>
        <v>61</v>
      </c>
      <c r="B65" s="60" t="s">
        <v>85</v>
      </c>
      <c r="C65" s="244">
        <v>2010</v>
      </c>
      <c r="D65" s="321" t="s">
        <v>62</v>
      </c>
      <c r="E65" s="320"/>
      <c r="F65" s="182">
        <f>SUM(AT65:BF65)</f>
        <v>292416.89</v>
      </c>
      <c r="G65" s="183">
        <f>SUM(BG65:BR65)</f>
        <v>83024.01999999999</v>
      </c>
      <c r="H65" s="183">
        <f>SUM(BS65:CB65)</f>
        <v>158168.85999999999</v>
      </c>
      <c r="I65" s="184">
        <f>SUM(CC65:CK65)</f>
        <v>223606.55</v>
      </c>
      <c r="J65" s="181"/>
      <c r="K65" s="185">
        <f>BF65</f>
        <v>64007.46</v>
      </c>
      <c r="L65" s="186">
        <f>AY65</f>
        <v>17592.239999999998</v>
      </c>
      <c r="M65" s="186">
        <f>BD65</f>
        <v>47632.2</v>
      </c>
      <c r="N65" s="186">
        <f>AW65</f>
        <v>20813.239999999998</v>
      </c>
      <c r="O65" s="186">
        <f>BE65</f>
        <v>15714</v>
      </c>
      <c r="P65" s="186">
        <f>'2011'!AZ65+'2011'!BA65</f>
        <v>7006.4800000000005</v>
      </c>
      <c r="Q65" s="186">
        <f>'2011'!AU65</f>
        <v>10587.84</v>
      </c>
      <c r="R65" s="186">
        <f>AT65+AX65</f>
        <v>321.66000000000003</v>
      </c>
      <c r="S65" s="186">
        <f>AV65</f>
        <v>11190.81</v>
      </c>
      <c r="T65" s="186">
        <f t="shared" ref="T65:U67" si="140">BB65</f>
        <v>23498.249999999996</v>
      </c>
      <c r="U65" s="187">
        <f t="shared" si="140"/>
        <v>74052.709999999992</v>
      </c>
      <c r="V65" s="186">
        <f>BG65+BJ65</f>
        <v>5144.5</v>
      </c>
      <c r="W65" s="186">
        <f>BR65</f>
        <v>15509.48</v>
      </c>
      <c r="X65" s="186">
        <f>BH65+BI65</f>
        <v>2617.7200000000003</v>
      </c>
      <c r="Y65" s="186">
        <f>BK65+BL65+BN65</f>
        <v>4589.95</v>
      </c>
      <c r="Z65" s="186">
        <f>BM65</f>
        <v>32426.1</v>
      </c>
      <c r="AA65" s="186">
        <f>BO65+BQ65</f>
        <v>9279.7099999999991</v>
      </c>
      <c r="AB65" s="187">
        <f>BP65</f>
        <v>13456.560000000001</v>
      </c>
      <c r="AC65" s="186">
        <f>BX65</f>
        <v>25238.850000000002</v>
      </c>
      <c r="AD65" s="186">
        <f>BU65</f>
        <v>8029.7999999999993</v>
      </c>
      <c r="AE65" s="186">
        <f>BS65+BT65</f>
        <v>6050.52</v>
      </c>
      <c r="AF65" s="186">
        <f>CA65</f>
        <v>6712.9199999999992</v>
      </c>
      <c r="AG65" s="186">
        <f>BV65</f>
        <v>18870</v>
      </c>
      <c r="AH65" s="186">
        <f>BZ65</f>
        <v>21875.75</v>
      </c>
      <c r="AI65" s="186">
        <f>BW65</f>
        <v>28889.279999999999</v>
      </c>
      <c r="AJ65" s="186">
        <f>BY65</f>
        <v>15277.5</v>
      </c>
      <c r="AK65" s="187">
        <f>CB65</f>
        <v>27224.239999999998</v>
      </c>
      <c r="AL65" s="186">
        <f>CE65</f>
        <v>20688.759999999998</v>
      </c>
      <c r="AM65" s="186">
        <f>CH65</f>
        <v>15266.400000000001</v>
      </c>
      <c r="AN65" s="186">
        <f>CJ65</f>
        <v>50005.279999999999</v>
      </c>
      <c r="AO65" s="186">
        <f t="shared" ref="AO65:AP67" si="141">CC65</f>
        <v>42679</v>
      </c>
      <c r="AP65" s="186">
        <f t="shared" si="141"/>
        <v>12256.73</v>
      </c>
      <c r="AQ65" s="186">
        <f>CK65</f>
        <v>39238.559999999998</v>
      </c>
      <c r="AR65" s="186">
        <f>CI65</f>
        <v>8011.2</v>
      </c>
      <c r="AS65" s="190">
        <f>CF65+CG65</f>
        <v>35460.619999999995</v>
      </c>
      <c r="AT65" s="186">
        <v>0</v>
      </c>
      <c r="AU65" s="183">
        <f t="shared" ref="AU65:CK65" si="142">AU35*AU93</f>
        <v>10587.84</v>
      </c>
      <c r="AV65" s="183">
        <f t="shared" si="142"/>
        <v>11190.81</v>
      </c>
      <c r="AW65" s="183">
        <f t="shared" si="142"/>
        <v>20813.239999999998</v>
      </c>
      <c r="AX65" s="183">
        <f t="shared" si="142"/>
        <v>321.66000000000003</v>
      </c>
      <c r="AY65" s="183">
        <f t="shared" si="142"/>
        <v>17592.239999999998</v>
      </c>
      <c r="AZ65" s="183">
        <f t="shared" si="142"/>
        <v>0</v>
      </c>
      <c r="BA65" s="183">
        <f t="shared" si="142"/>
        <v>7006.4800000000005</v>
      </c>
      <c r="BB65" s="183">
        <f t="shared" si="142"/>
        <v>23498.249999999996</v>
      </c>
      <c r="BC65" s="183">
        <f t="shared" si="142"/>
        <v>74052.709999999992</v>
      </c>
      <c r="BD65" s="183">
        <f t="shared" si="142"/>
        <v>47632.2</v>
      </c>
      <c r="BE65" s="183">
        <f t="shared" si="142"/>
        <v>15714</v>
      </c>
      <c r="BF65" s="188">
        <f t="shared" si="142"/>
        <v>64007.46</v>
      </c>
      <c r="BG65" s="183">
        <f t="shared" si="142"/>
        <v>1517</v>
      </c>
      <c r="BH65" s="183">
        <f t="shared" si="142"/>
        <v>0</v>
      </c>
      <c r="BI65" s="183">
        <f t="shared" si="142"/>
        <v>2617.7200000000003</v>
      </c>
      <c r="BJ65" s="183">
        <f t="shared" si="142"/>
        <v>3627.5</v>
      </c>
      <c r="BK65" s="183">
        <f t="shared" si="142"/>
        <v>18.309999999999999</v>
      </c>
      <c r="BL65" s="183">
        <f t="shared" si="142"/>
        <v>0</v>
      </c>
      <c r="BM65" s="183">
        <f t="shared" si="142"/>
        <v>32426.1</v>
      </c>
      <c r="BN65" s="183">
        <f t="shared" si="142"/>
        <v>4571.6399999999994</v>
      </c>
      <c r="BO65" s="183">
        <f t="shared" si="142"/>
        <v>285.32000000000005</v>
      </c>
      <c r="BP65" s="183">
        <f t="shared" si="142"/>
        <v>13456.560000000001</v>
      </c>
      <c r="BQ65" s="183">
        <f t="shared" si="142"/>
        <v>8994.39</v>
      </c>
      <c r="BR65" s="188">
        <f t="shared" si="142"/>
        <v>15509.48</v>
      </c>
      <c r="BS65" s="183">
        <f t="shared" si="142"/>
        <v>206.76</v>
      </c>
      <c r="BT65" s="183">
        <f t="shared" si="142"/>
        <v>5843.76</v>
      </c>
      <c r="BU65" s="183">
        <f t="shared" si="142"/>
        <v>8029.7999999999993</v>
      </c>
      <c r="BV65" s="183">
        <f t="shared" si="142"/>
        <v>18870</v>
      </c>
      <c r="BW65" s="183">
        <f t="shared" si="142"/>
        <v>28889.279999999999</v>
      </c>
      <c r="BX65" s="183">
        <f t="shared" si="142"/>
        <v>25238.850000000002</v>
      </c>
      <c r="BY65" s="183">
        <f t="shared" si="142"/>
        <v>15277.5</v>
      </c>
      <c r="BZ65" s="183">
        <f t="shared" si="142"/>
        <v>21875.75</v>
      </c>
      <c r="CA65" s="183">
        <f t="shared" si="142"/>
        <v>6712.9199999999992</v>
      </c>
      <c r="CB65" s="188">
        <f t="shared" si="142"/>
        <v>27224.239999999998</v>
      </c>
      <c r="CC65" s="183">
        <f t="shared" si="142"/>
        <v>42679</v>
      </c>
      <c r="CD65" s="183">
        <f t="shared" si="142"/>
        <v>12256.73</v>
      </c>
      <c r="CE65" s="183">
        <f t="shared" si="142"/>
        <v>20688.759999999998</v>
      </c>
      <c r="CF65" s="183">
        <f t="shared" si="142"/>
        <v>1408.2</v>
      </c>
      <c r="CG65" s="183">
        <f t="shared" si="142"/>
        <v>34052.42</v>
      </c>
      <c r="CH65" s="183">
        <f t="shared" si="142"/>
        <v>15266.400000000001</v>
      </c>
      <c r="CI65" s="183">
        <f t="shared" si="142"/>
        <v>8011.2</v>
      </c>
      <c r="CJ65" s="183">
        <f t="shared" si="142"/>
        <v>50005.279999999999</v>
      </c>
      <c r="CK65" s="184">
        <f t="shared" si="142"/>
        <v>39238.559999999998</v>
      </c>
      <c r="CL65" s="318">
        <v>757216</v>
      </c>
    </row>
    <row r="66" spans="1:90">
      <c r="A66" s="93">
        <f>ROWS($A$3:A64)</f>
        <v>62</v>
      </c>
      <c r="B66" s="106" t="s">
        <v>281</v>
      </c>
      <c r="C66" s="241"/>
      <c r="D66" s="321" t="s">
        <v>56</v>
      </c>
      <c r="E66" s="320"/>
      <c r="F66" s="156">
        <f>SUM(AT66:BF66)</f>
        <v>195852</v>
      </c>
      <c r="G66" s="177">
        <f>SUM(BG66:BR66)</f>
        <v>53911</v>
      </c>
      <c r="H66" s="177">
        <f>SUM(BS66:CB66)</f>
        <v>116341</v>
      </c>
      <c r="I66" s="178">
        <f>SUM(CC66:CK66)</f>
        <v>166729</v>
      </c>
      <c r="J66" s="181"/>
      <c r="K66" s="156">
        <f>BF66</f>
        <v>45235</v>
      </c>
      <c r="L66" s="177">
        <f>AY66</f>
        <v>12595</v>
      </c>
      <c r="M66" s="177">
        <f>BD66</f>
        <v>29889</v>
      </c>
      <c r="N66" s="177">
        <f>AW66</f>
        <v>13723</v>
      </c>
      <c r="O66" s="177">
        <f>BE66</f>
        <v>11126</v>
      </c>
      <c r="P66" s="177">
        <f>AZ66+BA66</f>
        <v>2756</v>
      </c>
      <c r="Q66" s="177">
        <f>AU66</f>
        <v>8520</v>
      </c>
      <c r="R66" s="177">
        <f>AT66+AX66</f>
        <v>607</v>
      </c>
      <c r="S66" s="177">
        <f>AV66</f>
        <v>7668</v>
      </c>
      <c r="T66" s="177">
        <f t="shared" si="140"/>
        <v>14362</v>
      </c>
      <c r="U66" s="179">
        <f t="shared" si="140"/>
        <v>49371</v>
      </c>
      <c r="V66" s="177">
        <f>BG66+BJ66</f>
        <v>2207</v>
      </c>
      <c r="W66" s="177">
        <f>BR66</f>
        <v>11928</v>
      </c>
      <c r="X66" s="177">
        <f>BH66+BI66</f>
        <v>1521</v>
      </c>
      <c r="Y66" s="177">
        <f>BK66+BL66+BN66</f>
        <v>2980</v>
      </c>
      <c r="Z66" s="177">
        <f>BM66</f>
        <v>19450</v>
      </c>
      <c r="AA66" s="177">
        <f>BO66+BQ66</f>
        <v>6151</v>
      </c>
      <c r="AB66" s="179">
        <f>BP66</f>
        <v>9674</v>
      </c>
      <c r="AC66" s="177">
        <f>BX66</f>
        <v>19858</v>
      </c>
      <c r="AD66" s="177">
        <f>BU66</f>
        <v>6310</v>
      </c>
      <c r="AE66" s="177">
        <f>BS66+BT66</f>
        <v>4801</v>
      </c>
      <c r="AF66" s="177">
        <f>CA66</f>
        <v>4137</v>
      </c>
      <c r="AG66" s="177">
        <f>BV66</f>
        <v>14712</v>
      </c>
      <c r="AH66" s="177">
        <f>BZ66</f>
        <v>14741</v>
      </c>
      <c r="AI66" s="177">
        <f>BW66</f>
        <v>20994</v>
      </c>
      <c r="AJ66" s="177">
        <f>BY66</f>
        <v>11465</v>
      </c>
      <c r="AK66" s="179">
        <f>CB66</f>
        <v>19323</v>
      </c>
      <c r="AL66" s="177">
        <f>CE66</f>
        <v>16010</v>
      </c>
      <c r="AM66" s="177">
        <f>CH66</f>
        <v>10703</v>
      </c>
      <c r="AN66" s="177">
        <f>CJ66</f>
        <v>43570</v>
      </c>
      <c r="AO66" s="177">
        <f t="shared" si="141"/>
        <v>31761</v>
      </c>
      <c r="AP66" s="177">
        <f t="shared" si="141"/>
        <v>7274</v>
      </c>
      <c r="AQ66" s="177">
        <f>CK66</f>
        <v>27378</v>
      </c>
      <c r="AR66" s="177">
        <f>CI66</f>
        <v>5782</v>
      </c>
      <c r="AS66" s="178">
        <f>CF66+CG66</f>
        <v>24251</v>
      </c>
      <c r="AT66" s="177">
        <v>0</v>
      </c>
      <c r="AU66" s="177">
        <v>8520</v>
      </c>
      <c r="AV66" s="177">
        <f>8469-801</f>
        <v>7668</v>
      </c>
      <c r="AW66" s="177">
        <f>17517-3794</f>
        <v>13723</v>
      </c>
      <c r="AX66" s="177">
        <f>796-189</f>
        <v>607</v>
      </c>
      <c r="AY66" s="177">
        <v>12595</v>
      </c>
      <c r="AZ66" s="177">
        <v>0</v>
      </c>
      <c r="BA66" s="177">
        <f>2967-211</f>
        <v>2756</v>
      </c>
      <c r="BB66" s="177">
        <v>14362</v>
      </c>
      <c r="BC66" s="177">
        <v>49371</v>
      </c>
      <c r="BD66" s="177">
        <v>29889</v>
      </c>
      <c r="BE66" s="177">
        <v>11126</v>
      </c>
      <c r="BF66" s="179">
        <f>45757-522</f>
        <v>45235</v>
      </c>
      <c r="BG66" s="177">
        <v>0</v>
      </c>
      <c r="BH66" s="177">
        <v>0</v>
      </c>
      <c r="BI66" s="177">
        <f>1626-105</f>
        <v>1521</v>
      </c>
      <c r="BJ66" s="177">
        <f>2506-299</f>
        <v>2207</v>
      </c>
      <c r="BK66" s="177">
        <v>0</v>
      </c>
      <c r="BL66" s="177">
        <v>0</v>
      </c>
      <c r="BM66" s="177">
        <v>19450</v>
      </c>
      <c r="BN66" s="177">
        <v>2980</v>
      </c>
      <c r="BO66" s="177">
        <v>0</v>
      </c>
      <c r="BP66" s="177">
        <f>10254-580</f>
        <v>9674</v>
      </c>
      <c r="BQ66" s="177">
        <f>6216-65</f>
        <v>6151</v>
      </c>
      <c r="BR66" s="179">
        <f>13356-1428</f>
        <v>11928</v>
      </c>
      <c r="BS66" s="177">
        <v>0</v>
      </c>
      <c r="BT66" s="177">
        <f>23829-19028</f>
        <v>4801</v>
      </c>
      <c r="BU66" s="177">
        <f>8582-2272</f>
        <v>6310</v>
      </c>
      <c r="BV66" s="177">
        <f>16851-2139</f>
        <v>14712</v>
      </c>
      <c r="BW66" s="177">
        <f>22957-1963</f>
        <v>20994</v>
      </c>
      <c r="BX66" s="177">
        <f>32696-12838</f>
        <v>19858</v>
      </c>
      <c r="BY66" s="177">
        <f>20261-8796</f>
        <v>11465</v>
      </c>
      <c r="BZ66" s="177">
        <f>14908-167</f>
        <v>14741</v>
      </c>
      <c r="CA66" s="177">
        <f>12797-8660</f>
        <v>4137</v>
      </c>
      <c r="CB66" s="179">
        <f>31442-12119</f>
        <v>19323</v>
      </c>
      <c r="CC66" s="177">
        <f>32748-987</f>
        <v>31761</v>
      </c>
      <c r="CD66" s="177">
        <f>7531-257</f>
        <v>7274</v>
      </c>
      <c r="CE66" s="177">
        <f>28829-12819</f>
        <v>16010</v>
      </c>
      <c r="CF66" s="177">
        <v>0</v>
      </c>
      <c r="CG66" s="177">
        <f>25638-1387</f>
        <v>24251</v>
      </c>
      <c r="CH66" s="177">
        <v>10703</v>
      </c>
      <c r="CI66" s="177">
        <f>6535-753</f>
        <v>5782</v>
      </c>
      <c r="CJ66" s="177">
        <f>45438-1868</f>
        <v>43570</v>
      </c>
      <c r="CK66" s="178">
        <f>29612-2234</f>
        <v>27378</v>
      </c>
      <c r="CL66" s="180">
        <f>SUM(AT66:CK66)</f>
        <v>532833</v>
      </c>
    </row>
    <row r="67" spans="1:90">
      <c r="A67" s="93">
        <f>ROWS($A$3:A65)</f>
        <v>63</v>
      </c>
      <c r="B67" s="106" t="s">
        <v>282</v>
      </c>
      <c r="C67" s="241"/>
      <c r="D67" s="321" t="s">
        <v>56</v>
      </c>
      <c r="E67" s="320"/>
      <c r="F67" s="156">
        <f>SUM(AT67:BF67)</f>
        <v>5517</v>
      </c>
      <c r="G67" s="177">
        <f>SUM(BG67:BR67)</f>
        <v>2477</v>
      </c>
      <c r="H67" s="177">
        <f>SUM(BS67:CB67)</f>
        <v>67982</v>
      </c>
      <c r="I67" s="178">
        <f>SUM(CC67:CK67)</f>
        <v>20305</v>
      </c>
      <c r="J67" s="181"/>
      <c r="K67" s="156">
        <f>BF67</f>
        <v>522</v>
      </c>
      <c r="L67" s="177">
        <f>AY67</f>
        <v>0</v>
      </c>
      <c r="M67" s="177">
        <f>BD67</f>
        <v>0</v>
      </c>
      <c r="N67" s="177">
        <f>AW67</f>
        <v>3794</v>
      </c>
      <c r="O67" s="177">
        <f>BE67</f>
        <v>0</v>
      </c>
      <c r="P67" s="177">
        <f>AZ67+BA67</f>
        <v>211</v>
      </c>
      <c r="Q67" s="177">
        <f>AU67</f>
        <v>0</v>
      </c>
      <c r="R67" s="177">
        <f>AT67+AX67</f>
        <v>189</v>
      </c>
      <c r="S67" s="177">
        <f>AV67</f>
        <v>801</v>
      </c>
      <c r="T67" s="177">
        <f t="shared" si="140"/>
        <v>0</v>
      </c>
      <c r="U67" s="179">
        <f t="shared" si="140"/>
        <v>0</v>
      </c>
      <c r="V67" s="177">
        <f>BG67+BJ67</f>
        <v>299</v>
      </c>
      <c r="W67" s="177">
        <f>BR67</f>
        <v>1428</v>
      </c>
      <c r="X67" s="177">
        <f>BH67+BI67</f>
        <v>105</v>
      </c>
      <c r="Y67" s="177">
        <f>BK67+BL67+BN67</f>
        <v>0</v>
      </c>
      <c r="Z67" s="177">
        <f>BM67</f>
        <v>0</v>
      </c>
      <c r="AA67" s="177">
        <f>BO67+BQ67</f>
        <v>65</v>
      </c>
      <c r="AB67" s="179">
        <f>BP67</f>
        <v>580</v>
      </c>
      <c r="AC67" s="177">
        <f>BX67</f>
        <v>12838</v>
      </c>
      <c r="AD67" s="177">
        <f>BU67</f>
        <v>2272</v>
      </c>
      <c r="AE67" s="177">
        <f>BS67+BT67</f>
        <v>19028</v>
      </c>
      <c r="AF67" s="177">
        <f>CA67</f>
        <v>8660</v>
      </c>
      <c r="AG67" s="177">
        <f>BV67</f>
        <v>2139</v>
      </c>
      <c r="AH67" s="177">
        <f>BZ67</f>
        <v>167</v>
      </c>
      <c r="AI67" s="177">
        <f>BW67</f>
        <v>1963</v>
      </c>
      <c r="AJ67" s="177">
        <f>BY67</f>
        <v>8796</v>
      </c>
      <c r="AK67" s="179">
        <f>CB67</f>
        <v>12119</v>
      </c>
      <c r="AL67" s="177">
        <f>CE67</f>
        <v>12819</v>
      </c>
      <c r="AM67" s="177">
        <f>CH67</f>
        <v>0</v>
      </c>
      <c r="AN67" s="177">
        <f>CJ67</f>
        <v>1868</v>
      </c>
      <c r="AO67" s="177">
        <f t="shared" si="141"/>
        <v>987</v>
      </c>
      <c r="AP67" s="177">
        <f t="shared" si="141"/>
        <v>257</v>
      </c>
      <c r="AQ67" s="177">
        <f>CK67</f>
        <v>2234</v>
      </c>
      <c r="AR67" s="177">
        <f>CI67</f>
        <v>753</v>
      </c>
      <c r="AS67" s="178">
        <f>CF67+CG67</f>
        <v>1387</v>
      </c>
      <c r="AT67" s="177">
        <v>0</v>
      </c>
      <c r="AU67" s="177">
        <v>0</v>
      </c>
      <c r="AV67" s="177">
        <v>801</v>
      </c>
      <c r="AW67" s="177">
        <v>3794</v>
      </c>
      <c r="AX67" s="177">
        <v>189</v>
      </c>
      <c r="AY67" s="177">
        <v>0</v>
      </c>
      <c r="AZ67" s="177">
        <v>0</v>
      </c>
      <c r="BA67" s="177">
        <v>211</v>
      </c>
      <c r="BB67" s="177">
        <v>0</v>
      </c>
      <c r="BC67" s="177">
        <v>0</v>
      </c>
      <c r="BD67" s="177">
        <v>0</v>
      </c>
      <c r="BE67" s="177">
        <v>0</v>
      </c>
      <c r="BF67" s="179">
        <v>522</v>
      </c>
      <c r="BG67" s="177">
        <v>0</v>
      </c>
      <c r="BH67" s="177">
        <v>0</v>
      </c>
      <c r="BI67" s="177">
        <v>105</v>
      </c>
      <c r="BJ67" s="177">
        <v>299</v>
      </c>
      <c r="BK67" s="177">
        <v>0</v>
      </c>
      <c r="BL67" s="177">
        <v>0</v>
      </c>
      <c r="BM67" s="177">
        <v>0</v>
      </c>
      <c r="BN67" s="177">
        <v>0</v>
      </c>
      <c r="BO67" s="177">
        <v>0</v>
      </c>
      <c r="BP67" s="177">
        <v>580</v>
      </c>
      <c r="BQ67" s="177">
        <v>65</v>
      </c>
      <c r="BR67" s="179">
        <v>1428</v>
      </c>
      <c r="BS67" s="177">
        <v>0</v>
      </c>
      <c r="BT67" s="177">
        <v>19028</v>
      </c>
      <c r="BU67" s="177">
        <v>2272</v>
      </c>
      <c r="BV67" s="177">
        <v>2139</v>
      </c>
      <c r="BW67" s="177">
        <v>1963</v>
      </c>
      <c r="BX67" s="177">
        <v>12838</v>
      </c>
      <c r="BY67" s="177">
        <v>8796</v>
      </c>
      <c r="BZ67" s="177">
        <v>167</v>
      </c>
      <c r="CA67" s="177">
        <v>8660</v>
      </c>
      <c r="CB67" s="179">
        <v>12119</v>
      </c>
      <c r="CC67" s="177">
        <v>987</v>
      </c>
      <c r="CD67" s="177">
        <v>257</v>
      </c>
      <c r="CE67" s="177">
        <v>12819</v>
      </c>
      <c r="CF67" s="177">
        <v>0</v>
      </c>
      <c r="CG67" s="177">
        <v>1387</v>
      </c>
      <c r="CH67" s="177">
        <v>0</v>
      </c>
      <c r="CI67" s="177">
        <v>753</v>
      </c>
      <c r="CJ67" s="177">
        <v>1868</v>
      </c>
      <c r="CK67" s="178">
        <v>2234</v>
      </c>
      <c r="CL67" s="180">
        <f>SUM(AT67:CK67)</f>
        <v>96281</v>
      </c>
    </row>
    <row r="68" spans="1:90">
      <c r="A68" s="93">
        <f>ROWS($A$3:A66)</f>
        <v>64</v>
      </c>
      <c r="B68" s="67" t="s">
        <v>87</v>
      </c>
      <c r="C68" s="241"/>
      <c r="D68" s="321"/>
      <c r="E68" s="320"/>
      <c r="F68" s="156"/>
      <c r="G68" s="177"/>
      <c r="H68" s="177"/>
      <c r="I68" s="178"/>
      <c r="J68" s="181"/>
      <c r="K68" s="156"/>
      <c r="L68" s="177"/>
      <c r="M68" s="177"/>
      <c r="N68" s="177"/>
      <c r="O68" s="177"/>
      <c r="P68" s="177"/>
      <c r="Q68" s="177"/>
      <c r="R68" s="177"/>
      <c r="S68" s="177"/>
      <c r="T68" s="177"/>
      <c r="U68" s="179"/>
      <c r="V68" s="177"/>
      <c r="W68" s="177"/>
      <c r="X68" s="177"/>
      <c r="Y68" s="177"/>
      <c r="Z68" s="177"/>
      <c r="AA68" s="177"/>
      <c r="AB68" s="179"/>
      <c r="AC68" s="177"/>
      <c r="AD68" s="177"/>
      <c r="AE68" s="177"/>
      <c r="AF68" s="177"/>
      <c r="AG68" s="177"/>
      <c r="AH68" s="177"/>
      <c r="AI68" s="177"/>
      <c r="AJ68" s="177"/>
      <c r="AK68" s="179"/>
      <c r="AL68" s="177"/>
      <c r="AM68" s="177"/>
      <c r="AN68" s="177"/>
      <c r="AO68" s="177"/>
      <c r="AP68" s="177"/>
      <c r="AQ68" s="177"/>
      <c r="AR68" s="177"/>
      <c r="AS68" s="178"/>
      <c r="AT68" s="177"/>
      <c r="AU68" s="177"/>
      <c r="AV68" s="177"/>
      <c r="AW68" s="177"/>
      <c r="AX68" s="177"/>
      <c r="AY68" s="177"/>
      <c r="AZ68" s="177"/>
      <c r="BA68" s="177"/>
      <c r="BB68" s="177"/>
      <c r="BC68" s="177"/>
      <c r="BD68" s="177"/>
      <c r="BE68" s="177"/>
      <c r="BF68" s="179"/>
      <c r="BG68" s="177"/>
      <c r="BH68" s="177"/>
      <c r="BI68" s="177"/>
      <c r="BJ68" s="177"/>
      <c r="BK68" s="177"/>
      <c r="BL68" s="177"/>
      <c r="BM68" s="177"/>
      <c r="BN68" s="177"/>
      <c r="BO68" s="177"/>
      <c r="BP68" s="177"/>
      <c r="BQ68" s="177"/>
      <c r="BR68" s="179"/>
      <c r="BS68" s="177"/>
      <c r="BT68" s="177"/>
      <c r="BU68" s="177"/>
      <c r="BV68" s="177"/>
      <c r="BW68" s="177"/>
      <c r="BX68" s="177"/>
      <c r="BY68" s="177"/>
      <c r="BZ68" s="177"/>
      <c r="CA68" s="177"/>
      <c r="CB68" s="179"/>
      <c r="CC68" s="177"/>
      <c r="CD68" s="177"/>
      <c r="CE68" s="177"/>
      <c r="CF68" s="177"/>
      <c r="CG68" s="177"/>
      <c r="CH68" s="177"/>
      <c r="CI68" s="177"/>
      <c r="CJ68" s="177"/>
      <c r="CK68" s="178"/>
      <c r="CL68" s="180"/>
    </row>
    <row r="69" spans="1:90">
      <c r="A69" s="93">
        <f>ROWS($A$3:A67)</f>
        <v>65</v>
      </c>
      <c r="B69" s="106" t="s">
        <v>299</v>
      </c>
      <c r="C69" s="242">
        <v>2010</v>
      </c>
      <c r="D69" s="319" t="s">
        <v>14</v>
      </c>
      <c r="E69" s="320"/>
      <c r="F69" s="156">
        <v>831</v>
      </c>
      <c r="G69" s="177">
        <v>232</v>
      </c>
      <c r="H69" s="177">
        <v>1049</v>
      </c>
      <c r="I69" s="178">
        <v>930</v>
      </c>
      <c r="J69" s="181"/>
      <c r="K69" s="156">
        <f>BF69</f>
        <v>92</v>
      </c>
      <c r="L69" s="177">
        <f>AY69</f>
        <v>142</v>
      </c>
      <c r="M69" s="177">
        <f>BD69</f>
        <v>101</v>
      </c>
      <c r="N69" s="177">
        <f>AW69</f>
        <v>45</v>
      </c>
      <c r="O69" s="177">
        <f>BE69</f>
        <v>46</v>
      </c>
      <c r="P69" s="177">
        <f>SUM(AZ69,BA69)</f>
        <v>69</v>
      </c>
      <c r="Q69" s="177">
        <f>'2010'!AU69</f>
        <v>29</v>
      </c>
      <c r="R69" s="177">
        <f>SUM(AT69+AX69)</f>
        <v>62</v>
      </c>
      <c r="S69" s="177">
        <f>AV69</f>
        <v>47</v>
      </c>
      <c r="T69" s="177">
        <f>BB69</f>
        <v>74</v>
      </c>
      <c r="U69" s="179">
        <f>BC69</f>
        <v>124</v>
      </c>
      <c r="V69" s="177">
        <f>SUM(BG69,BJ69)</f>
        <v>21</v>
      </c>
      <c r="W69" s="177">
        <f>BR69</f>
        <v>38</v>
      </c>
      <c r="X69" s="177">
        <f>SUM(BH69,BI69)</f>
        <v>38</v>
      </c>
      <c r="Y69" s="177">
        <f>SUM(BK69,BL69,BN69)</f>
        <v>33</v>
      </c>
      <c r="Z69" s="177">
        <f>BM69</f>
        <v>35</v>
      </c>
      <c r="AA69" s="177">
        <f>SUM(BO69,BQ69)</f>
        <v>35</v>
      </c>
      <c r="AB69" s="179">
        <f>BP69</f>
        <v>26</v>
      </c>
      <c r="AC69" s="177">
        <f>BX69</f>
        <v>101</v>
      </c>
      <c r="AD69" s="177">
        <f>BU69</f>
        <v>69</v>
      </c>
      <c r="AE69" s="177">
        <f>SUM(BS69+BT69)</f>
        <v>270</v>
      </c>
      <c r="AF69" s="177">
        <f>CA69</f>
        <v>102</v>
      </c>
      <c r="AG69" s="177">
        <f>BV69</f>
        <v>132</v>
      </c>
      <c r="AH69" s="177">
        <f>BZ69</f>
        <v>106</v>
      </c>
      <c r="AI69" s="177">
        <f>BW69</f>
        <v>50</v>
      </c>
      <c r="AJ69" s="177">
        <f>BY69</f>
        <v>40</v>
      </c>
      <c r="AK69" s="179">
        <f>CB69</f>
        <v>179</v>
      </c>
      <c r="AL69" s="177">
        <f>CE69</f>
        <v>66</v>
      </c>
      <c r="AM69" s="177">
        <f>CH69</f>
        <v>67</v>
      </c>
      <c r="AN69" s="177">
        <f>CJ69</f>
        <v>325</v>
      </c>
      <c r="AO69" s="177">
        <f>CC69</f>
        <v>86</v>
      </c>
      <c r="AP69" s="177">
        <f>CD69</f>
        <v>39</v>
      </c>
      <c r="AQ69" s="177">
        <f>CK69</f>
        <v>77</v>
      </c>
      <c r="AR69" s="177">
        <f>CI69</f>
        <v>194</v>
      </c>
      <c r="AS69" s="178">
        <f>SUM(CF69:CG69)</f>
        <v>76</v>
      </c>
      <c r="AT69" s="177">
        <v>8</v>
      </c>
      <c r="AU69" s="177">
        <v>29</v>
      </c>
      <c r="AV69" s="177">
        <v>47</v>
      </c>
      <c r="AW69" s="177">
        <v>45</v>
      </c>
      <c r="AX69" s="177">
        <v>54</v>
      </c>
      <c r="AY69" s="177">
        <v>142</v>
      </c>
      <c r="AZ69" s="177">
        <v>5</v>
      </c>
      <c r="BA69" s="177">
        <v>64</v>
      </c>
      <c r="BB69" s="177">
        <v>74</v>
      </c>
      <c r="BC69" s="177">
        <v>124</v>
      </c>
      <c r="BD69" s="177">
        <v>101</v>
      </c>
      <c r="BE69" s="177">
        <v>46</v>
      </c>
      <c r="BF69" s="179">
        <v>92</v>
      </c>
      <c r="BG69" s="177">
        <v>4</v>
      </c>
      <c r="BH69" s="177">
        <v>5</v>
      </c>
      <c r="BI69" s="177">
        <v>33</v>
      </c>
      <c r="BJ69" s="177">
        <v>17</v>
      </c>
      <c r="BK69" s="177" t="s">
        <v>252</v>
      </c>
      <c r="BL69" s="177" t="s">
        <v>301</v>
      </c>
      <c r="BM69" s="177">
        <v>35</v>
      </c>
      <c r="BN69" s="177">
        <v>33</v>
      </c>
      <c r="BO69" s="177" t="s">
        <v>252</v>
      </c>
      <c r="BP69" s="177">
        <v>26</v>
      </c>
      <c r="BQ69" s="177">
        <v>35</v>
      </c>
      <c r="BR69" s="179">
        <v>38</v>
      </c>
      <c r="BS69" s="177">
        <v>15</v>
      </c>
      <c r="BT69" s="177">
        <v>255</v>
      </c>
      <c r="BU69" s="177">
        <v>69</v>
      </c>
      <c r="BV69" s="177">
        <v>132</v>
      </c>
      <c r="BW69" s="177">
        <v>50</v>
      </c>
      <c r="BX69" s="177">
        <v>101</v>
      </c>
      <c r="BY69" s="177">
        <v>40</v>
      </c>
      <c r="BZ69" s="177">
        <v>106</v>
      </c>
      <c r="CA69" s="177">
        <v>102</v>
      </c>
      <c r="CB69" s="179">
        <v>179</v>
      </c>
      <c r="CC69" s="177">
        <v>86</v>
      </c>
      <c r="CD69" s="177">
        <v>39</v>
      </c>
      <c r="CE69" s="177">
        <v>66</v>
      </c>
      <c r="CF69" s="177" t="s">
        <v>301</v>
      </c>
      <c r="CG69" s="177">
        <v>76</v>
      </c>
      <c r="CH69" s="177">
        <v>67</v>
      </c>
      <c r="CI69" s="177">
        <v>194</v>
      </c>
      <c r="CJ69" s="177">
        <v>325</v>
      </c>
      <c r="CK69" s="178">
        <v>77</v>
      </c>
      <c r="CL69" s="180">
        <v>3042</v>
      </c>
    </row>
    <row r="70" spans="1:90">
      <c r="A70" s="93">
        <f>ROWS($A$3:A68)</f>
        <v>66</v>
      </c>
      <c r="B70" s="106" t="s">
        <v>74</v>
      </c>
      <c r="C70" s="312"/>
      <c r="D70" s="319" t="s">
        <v>1</v>
      </c>
      <c r="E70" s="320"/>
      <c r="F70" s="377">
        <v>25349</v>
      </c>
      <c r="G70" s="181">
        <v>9639</v>
      </c>
      <c r="H70" s="181">
        <v>32376</v>
      </c>
      <c r="I70" s="373">
        <v>31003</v>
      </c>
      <c r="J70" s="181"/>
      <c r="K70" s="156">
        <f>BF70</f>
        <v>3020</v>
      </c>
      <c r="L70" s="177">
        <f>AY70</f>
        <v>2688</v>
      </c>
      <c r="M70" s="177">
        <f>BD70</f>
        <v>3322</v>
      </c>
      <c r="N70" s="177">
        <f>AW70</f>
        <v>1586</v>
      </c>
      <c r="O70" s="177">
        <f>BE70</f>
        <v>2579</v>
      </c>
      <c r="P70" s="177">
        <f>SUM(AZ70,BA70)</f>
        <v>1713</v>
      </c>
      <c r="Q70" s="177">
        <f>'2010'!AU70</f>
        <v>1115</v>
      </c>
      <c r="R70" s="177">
        <f>SUM(AT70+AX70)</f>
        <v>1244</v>
      </c>
      <c r="S70" s="177">
        <f>AV70</f>
        <v>1401</v>
      </c>
      <c r="T70" s="177">
        <f>BB70</f>
        <v>2066</v>
      </c>
      <c r="U70" s="179">
        <f>BC70</f>
        <v>4615</v>
      </c>
      <c r="V70" s="177">
        <f>SUM(BG70,BJ70)</f>
        <v>440</v>
      </c>
      <c r="W70" s="177">
        <f>BR70</f>
        <v>1468</v>
      </c>
      <c r="X70" s="177">
        <f>SUM(BH70,BI70)</f>
        <v>1104</v>
      </c>
      <c r="Y70" s="177">
        <f>SUM(BK70,BL70,BN70)</f>
        <v>1208</v>
      </c>
      <c r="Z70" s="177">
        <f>BM70</f>
        <v>1904</v>
      </c>
      <c r="AA70" s="177">
        <f>SUM(BO70,BQ70)</f>
        <v>1973</v>
      </c>
      <c r="AB70" s="179">
        <f>BP70</f>
        <v>1086</v>
      </c>
      <c r="AC70" s="177">
        <f>BX70</f>
        <v>3397</v>
      </c>
      <c r="AD70" s="177">
        <f>BU70</f>
        <v>1320</v>
      </c>
      <c r="AE70" s="177">
        <f>SUM(BS70+BT70)</f>
        <v>7008</v>
      </c>
      <c r="AF70" s="177">
        <f>CA70</f>
        <v>3239</v>
      </c>
      <c r="AG70" s="177">
        <f>BV70</f>
        <v>3349</v>
      </c>
      <c r="AH70" s="177">
        <f>BZ70</f>
        <v>2996</v>
      </c>
      <c r="AI70" s="177">
        <f>BW70</f>
        <v>1620</v>
      </c>
      <c r="AJ70" s="177">
        <f>BY70</f>
        <v>2536</v>
      </c>
      <c r="AK70" s="179">
        <f>CB70</f>
        <v>6911</v>
      </c>
      <c r="AL70" s="177">
        <f>CE70</f>
        <v>3625</v>
      </c>
      <c r="AM70" s="177">
        <f>CH70</f>
        <v>3116</v>
      </c>
      <c r="AN70" s="177">
        <f>CJ70</f>
        <v>8895</v>
      </c>
      <c r="AO70" s="177">
        <f>CC70</f>
        <v>3425</v>
      </c>
      <c r="AP70" s="177">
        <f>CD70</f>
        <v>3086</v>
      </c>
      <c r="AQ70" s="177">
        <f>CK70</f>
        <v>3085</v>
      </c>
      <c r="AR70" s="177">
        <f>CI70</f>
        <v>3123</v>
      </c>
      <c r="AS70" s="178">
        <f>SUM(CF70:CG70)</f>
        <v>2648</v>
      </c>
      <c r="AT70" s="181">
        <v>190</v>
      </c>
      <c r="AU70" s="181">
        <v>1115</v>
      </c>
      <c r="AV70" s="181">
        <v>1401</v>
      </c>
      <c r="AW70" s="181">
        <v>1586</v>
      </c>
      <c r="AX70" s="181">
        <v>1054</v>
      </c>
      <c r="AY70" s="181">
        <v>2688</v>
      </c>
      <c r="AZ70" s="181">
        <v>99</v>
      </c>
      <c r="BA70" s="181">
        <v>1614</v>
      </c>
      <c r="BB70" s="181">
        <v>2066</v>
      </c>
      <c r="BC70" s="181">
        <v>4615</v>
      </c>
      <c r="BD70" s="181">
        <v>3322</v>
      </c>
      <c r="BE70" s="181">
        <v>2579</v>
      </c>
      <c r="BF70" s="372">
        <v>3020</v>
      </c>
      <c r="BG70" s="181">
        <v>213</v>
      </c>
      <c r="BH70" s="181" t="s">
        <v>252</v>
      </c>
      <c r="BI70" s="181">
        <v>1104</v>
      </c>
      <c r="BJ70" s="181">
        <v>227</v>
      </c>
      <c r="BK70" s="181" t="s">
        <v>252</v>
      </c>
      <c r="BL70" s="181" t="s">
        <v>301</v>
      </c>
      <c r="BM70" s="181">
        <v>1904</v>
      </c>
      <c r="BN70" s="181">
        <v>1208</v>
      </c>
      <c r="BO70" s="181" t="s">
        <v>252</v>
      </c>
      <c r="BP70" s="181">
        <v>1086</v>
      </c>
      <c r="BQ70" s="181">
        <v>1973</v>
      </c>
      <c r="BR70" s="372">
        <v>1468</v>
      </c>
      <c r="BS70" s="181">
        <v>244</v>
      </c>
      <c r="BT70" s="181">
        <v>6764</v>
      </c>
      <c r="BU70" s="181">
        <v>1320</v>
      </c>
      <c r="BV70" s="181">
        <v>3349</v>
      </c>
      <c r="BW70" s="181">
        <v>1620</v>
      </c>
      <c r="BX70" s="181">
        <v>3397</v>
      </c>
      <c r="BY70" s="181">
        <v>2536</v>
      </c>
      <c r="BZ70" s="181">
        <v>2996</v>
      </c>
      <c r="CA70" s="181">
        <v>3239</v>
      </c>
      <c r="CB70" s="372">
        <v>6911</v>
      </c>
      <c r="CC70" s="181">
        <v>3425</v>
      </c>
      <c r="CD70" s="181">
        <v>3086</v>
      </c>
      <c r="CE70" s="181">
        <v>3625</v>
      </c>
      <c r="CF70" s="177" t="s">
        <v>301</v>
      </c>
      <c r="CG70" s="181">
        <v>2648</v>
      </c>
      <c r="CH70" s="181">
        <v>3116</v>
      </c>
      <c r="CI70" s="181">
        <v>3123</v>
      </c>
      <c r="CJ70" s="181">
        <v>8895</v>
      </c>
      <c r="CK70" s="373">
        <v>3085</v>
      </c>
      <c r="CL70" s="318">
        <v>98367</v>
      </c>
    </row>
    <row r="71" spans="1:90">
      <c r="A71" s="93">
        <f>ROWS($A$3:A69)</f>
        <v>67</v>
      </c>
      <c r="B71" s="62" t="s">
        <v>300</v>
      </c>
      <c r="C71" s="312"/>
      <c r="D71" s="319" t="s">
        <v>1</v>
      </c>
      <c r="E71" s="320"/>
      <c r="F71" s="207">
        <f>IF(ISERROR(F70/F69)=FALSE,F70/F69," -")</f>
        <v>30.504211793020456</v>
      </c>
      <c r="G71" s="208">
        <f>IF(ISERROR(G70/G69)=FALSE,G70/G69," -")</f>
        <v>41.547413793103445</v>
      </c>
      <c r="H71" s="208">
        <f>IF(ISERROR(H70/H69)=FALSE,H70/H69," -")</f>
        <v>30.863679694947567</v>
      </c>
      <c r="I71" s="209">
        <f>IF(ISERROR(I70/I69)=FALSE,I70/I69," -")</f>
        <v>33.336559139784946</v>
      </c>
      <c r="J71" s="213"/>
      <c r="K71" s="207">
        <f t="shared" ref="K71:BD71" si="143">IF(ISERROR(K70/K69)=FALSE,K70/K69," -")</f>
        <v>32.826086956521742</v>
      </c>
      <c r="L71" s="208">
        <f t="shared" si="143"/>
        <v>18.929577464788732</v>
      </c>
      <c r="M71" s="208">
        <f t="shared" si="143"/>
        <v>32.89108910891089</v>
      </c>
      <c r="N71" s="208">
        <f t="shared" si="143"/>
        <v>35.244444444444447</v>
      </c>
      <c r="O71" s="208">
        <f t="shared" si="143"/>
        <v>56.065217391304351</v>
      </c>
      <c r="P71" s="208">
        <f t="shared" si="143"/>
        <v>24.826086956521738</v>
      </c>
      <c r="Q71" s="208">
        <f t="shared" si="143"/>
        <v>38.448275862068968</v>
      </c>
      <c r="R71" s="208">
        <f t="shared" si="143"/>
        <v>20.06451612903226</v>
      </c>
      <c r="S71" s="208">
        <f t="shared" si="143"/>
        <v>29.808510638297872</v>
      </c>
      <c r="T71" s="208">
        <f t="shared" si="143"/>
        <v>27.918918918918919</v>
      </c>
      <c r="U71" s="216">
        <f t="shared" si="143"/>
        <v>37.217741935483872</v>
      </c>
      <c r="V71" s="208">
        <f t="shared" si="143"/>
        <v>20.952380952380953</v>
      </c>
      <c r="W71" s="208">
        <f t="shared" si="143"/>
        <v>38.631578947368418</v>
      </c>
      <c r="X71" s="208">
        <f t="shared" si="143"/>
        <v>29.05263157894737</v>
      </c>
      <c r="Y71" s="208">
        <f t="shared" si="143"/>
        <v>36.606060606060609</v>
      </c>
      <c r="Z71" s="208">
        <f t="shared" si="143"/>
        <v>54.4</v>
      </c>
      <c r="AA71" s="208">
        <f t="shared" si="143"/>
        <v>56.371428571428574</v>
      </c>
      <c r="AB71" s="216">
        <f t="shared" si="143"/>
        <v>41.769230769230766</v>
      </c>
      <c r="AC71" s="208">
        <f t="shared" si="143"/>
        <v>33.633663366336634</v>
      </c>
      <c r="AD71" s="208">
        <f t="shared" si="143"/>
        <v>19.130434782608695</v>
      </c>
      <c r="AE71" s="208">
        <f t="shared" si="143"/>
        <v>25.955555555555556</v>
      </c>
      <c r="AF71" s="208">
        <f t="shared" si="143"/>
        <v>31.754901960784313</v>
      </c>
      <c r="AG71" s="208">
        <f t="shared" si="143"/>
        <v>25.371212121212121</v>
      </c>
      <c r="AH71" s="208">
        <f t="shared" si="143"/>
        <v>28.264150943396228</v>
      </c>
      <c r="AI71" s="208">
        <f t="shared" si="143"/>
        <v>32.4</v>
      </c>
      <c r="AJ71" s="208">
        <f t="shared" si="143"/>
        <v>63.4</v>
      </c>
      <c r="AK71" s="216">
        <f t="shared" si="143"/>
        <v>38.608938547486034</v>
      </c>
      <c r="AL71" s="208">
        <f t="shared" si="143"/>
        <v>54.924242424242422</v>
      </c>
      <c r="AM71" s="208">
        <f t="shared" si="143"/>
        <v>46.507462686567166</v>
      </c>
      <c r="AN71" s="208">
        <f t="shared" si="143"/>
        <v>27.369230769230768</v>
      </c>
      <c r="AO71" s="208">
        <f t="shared" si="143"/>
        <v>39.825581395348834</v>
      </c>
      <c r="AP71" s="208">
        <f t="shared" si="143"/>
        <v>79.128205128205124</v>
      </c>
      <c r="AQ71" s="208">
        <f t="shared" si="143"/>
        <v>40.064935064935064</v>
      </c>
      <c r="AR71" s="208">
        <f t="shared" si="143"/>
        <v>16.097938144329898</v>
      </c>
      <c r="AS71" s="209">
        <f t="shared" si="143"/>
        <v>34.842105263157897</v>
      </c>
      <c r="AT71" s="208">
        <f t="shared" si="143"/>
        <v>23.75</v>
      </c>
      <c r="AU71" s="208">
        <f t="shared" si="143"/>
        <v>38.448275862068968</v>
      </c>
      <c r="AV71" s="208">
        <f t="shared" si="143"/>
        <v>29.808510638297872</v>
      </c>
      <c r="AW71" s="208">
        <f t="shared" si="143"/>
        <v>35.244444444444447</v>
      </c>
      <c r="AX71" s="208">
        <f t="shared" si="143"/>
        <v>19.518518518518519</v>
      </c>
      <c r="AY71" s="208">
        <f t="shared" si="143"/>
        <v>18.929577464788732</v>
      </c>
      <c r="AZ71" s="208">
        <f t="shared" si="143"/>
        <v>19.8</v>
      </c>
      <c r="BA71" s="208">
        <f t="shared" si="143"/>
        <v>25.21875</v>
      </c>
      <c r="BB71" s="208">
        <f t="shared" si="143"/>
        <v>27.918918918918919</v>
      </c>
      <c r="BC71" s="208">
        <f t="shared" si="143"/>
        <v>37.217741935483872</v>
      </c>
      <c r="BD71" s="208">
        <f t="shared" si="143"/>
        <v>32.89108910891089</v>
      </c>
      <c r="BE71" s="208">
        <f t="shared" ref="BE71:CK71" si="144">IF(ISERROR(BE70/BE69)=FALSE,BE70/BE69," -")</f>
        <v>56.065217391304351</v>
      </c>
      <c r="BF71" s="216">
        <f t="shared" si="144"/>
        <v>32.826086956521742</v>
      </c>
      <c r="BG71" s="208">
        <f t="shared" si="144"/>
        <v>53.25</v>
      </c>
      <c r="BH71" s="208" t="str">
        <f t="shared" si="144"/>
        <v xml:space="preserve"> -</v>
      </c>
      <c r="BI71" s="208">
        <f t="shared" si="144"/>
        <v>33.454545454545453</v>
      </c>
      <c r="BJ71" s="208">
        <f t="shared" si="144"/>
        <v>13.352941176470589</v>
      </c>
      <c r="BK71" s="208" t="str">
        <f t="shared" si="144"/>
        <v xml:space="preserve"> -</v>
      </c>
      <c r="BL71" s="208" t="str">
        <f t="shared" si="144"/>
        <v xml:space="preserve"> -</v>
      </c>
      <c r="BM71" s="208">
        <f t="shared" si="144"/>
        <v>54.4</v>
      </c>
      <c r="BN71" s="208">
        <f t="shared" si="144"/>
        <v>36.606060606060609</v>
      </c>
      <c r="BO71" s="208" t="str">
        <f t="shared" si="144"/>
        <v xml:space="preserve"> -</v>
      </c>
      <c r="BP71" s="208">
        <f t="shared" si="144"/>
        <v>41.769230769230766</v>
      </c>
      <c r="BQ71" s="208">
        <f t="shared" si="144"/>
        <v>56.371428571428574</v>
      </c>
      <c r="BR71" s="216">
        <f t="shared" si="144"/>
        <v>38.631578947368418</v>
      </c>
      <c r="BS71" s="208">
        <f t="shared" si="144"/>
        <v>16.266666666666666</v>
      </c>
      <c r="BT71" s="208">
        <f t="shared" si="144"/>
        <v>26.525490196078433</v>
      </c>
      <c r="BU71" s="208">
        <f t="shared" si="144"/>
        <v>19.130434782608695</v>
      </c>
      <c r="BV71" s="208">
        <f t="shared" si="144"/>
        <v>25.371212121212121</v>
      </c>
      <c r="BW71" s="208">
        <f t="shared" si="144"/>
        <v>32.4</v>
      </c>
      <c r="BX71" s="208">
        <f t="shared" si="144"/>
        <v>33.633663366336634</v>
      </c>
      <c r="BY71" s="208">
        <f t="shared" si="144"/>
        <v>63.4</v>
      </c>
      <c r="BZ71" s="208">
        <f t="shared" si="144"/>
        <v>28.264150943396228</v>
      </c>
      <c r="CA71" s="208">
        <f t="shared" si="144"/>
        <v>31.754901960784313</v>
      </c>
      <c r="CB71" s="216">
        <f t="shared" si="144"/>
        <v>38.608938547486034</v>
      </c>
      <c r="CC71" s="208">
        <f t="shared" si="144"/>
        <v>39.825581395348834</v>
      </c>
      <c r="CD71" s="208">
        <f t="shared" si="144"/>
        <v>79.128205128205124</v>
      </c>
      <c r="CE71" s="208">
        <f t="shared" si="144"/>
        <v>54.924242424242422</v>
      </c>
      <c r="CF71" s="208" t="str">
        <f t="shared" si="144"/>
        <v xml:space="preserve"> -</v>
      </c>
      <c r="CG71" s="208">
        <f t="shared" si="144"/>
        <v>34.842105263157897</v>
      </c>
      <c r="CH71" s="208">
        <f t="shared" si="144"/>
        <v>46.507462686567166</v>
      </c>
      <c r="CI71" s="208">
        <f t="shared" si="144"/>
        <v>16.097938144329898</v>
      </c>
      <c r="CJ71" s="208">
        <f t="shared" si="144"/>
        <v>27.369230769230768</v>
      </c>
      <c r="CK71" s="208">
        <f t="shared" si="144"/>
        <v>40.064935064935064</v>
      </c>
      <c r="CL71" s="217">
        <f>IF(OR(CL69&lt;0.1,CL70&lt;0.1),0,CL70/CL69)</f>
        <v>32.336291913214993</v>
      </c>
    </row>
    <row r="72" spans="1:90">
      <c r="A72" s="93">
        <f>ROWS($A$3:A70)</f>
        <v>68</v>
      </c>
      <c r="B72" s="67" t="s">
        <v>89</v>
      </c>
      <c r="C72" s="241"/>
      <c r="D72" s="321"/>
      <c r="E72" s="320"/>
      <c r="F72" s="156"/>
      <c r="G72" s="177"/>
      <c r="H72" s="177"/>
      <c r="I72" s="178"/>
      <c r="J72" s="181"/>
      <c r="K72" s="156"/>
      <c r="L72" s="177"/>
      <c r="M72" s="177"/>
      <c r="N72" s="177"/>
      <c r="O72" s="177"/>
      <c r="P72" s="177"/>
      <c r="Q72" s="177"/>
      <c r="R72" s="177"/>
      <c r="S72" s="177"/>
      <c r="T72" s="177"/>
      <c r="U72" s="179"/>
      <c r="V72" s="177"/>
      <c r="W72" s="177"/>
      <c r="X72" s="177"/>
      <c r="Y72" s="177"/>
      <c r="Z72" s="177"/>
      <c r="AA72" s="177"/>
      <c r="AB72" s="179"/>
      <c r="AC72" s="177"/>
      <c r="AD72" s="177"/>
      <c r="AE72" s="177"/>
      <c r="AF72" s="177"/>
      <c r="AG72" s="177"/>
      <c r="AH72" s="177"/>
      <c r="AI72" s="177"/>
      <c r="AJ72" s="177"/>
      <c r="AK72" s="179"/>
      <c r="AL72" s="177"/>
      <c r="AM72" s="177"/>
      <c r="AN72" s="177"/>
      <c r="AO72" s="177"/>
      <c r="AP72" s="177"/>
      <c r="AQ72" s="177"/>
      <c r="AR72" s="177"/>
      <c r="AS72" s="178"/>
      <c r="AT72" s="177"/>
      <c r="AU72" s="177"/>
      <c r="AV72" s="177"/>
      <c r="AW72" s="177"/>
      <c r="AX72" s="177"/>
      <c r="AY72" s="177"/>
      <c r="AZ72" s="177"/>
      <c r="BA72" s="177"/>
      <c r="BB72" s="177"/>
      <c r="BC72" s="177"/>
      <c r="BD72" s="177"/>
      <c r="BE72" s="177"/>
      <c r="BF72" s="179"/>
      <c r="BG72" s="177"/>
      <c r="BH72" s="177"/>
      <c r="BI72" s="177"/>
      <c r="BJ72" s="177"/>
      <c r="BK72" s="177"/>
      <c r="BL72" s="177"/>
      <c r="BM72" s="177"/>
      <c r="BN72" s="177"/>
      <c r="BO72" s="177"/>
      <c r="BP72" s="177"/>
      <c r="BQ72" s="177"/>
      <c r="BR72" s="179"/>
      <c r="BS72" s="177"/>
      <c r="BT72" s="177"/>
      <c r="BU72" s="177"/>
      <c r="BV72" s="177"/>
      <c r="BW72" s="177"/>
      <c r="BX72" s="177"/>
      <c r="BY72" s="177"/>
      <c r="BZ72" s="177"/>
      <c r="CA72" s="177"/>
      <c r="CB72" s="179"/>
      <c r="CC72" s="177"/>
      <c r="CD72" s="177"/>
      <c r="CE72" s="177"/>
      <c r="CF72" s="177"/>
      <c r="CG72" s="177"/>
      <c r="CH72" s="177"/>
      <c r="CI72" s="177"/>
      <c r="CJ72" s="177"/>
      <c r="CK72" s="178"/>
      <c r="CL72" s="180"/>
    </row>
    <row r="73" spans="1:90">
      <c r="A73" s="93">
        <f>ROWS($A$3:A71)</f>
        <v>69</v>
      </c>
      <c r="B73" s="106" t="s">
        <v>90</v>
      </c>
      <c r="C73" s="242">
        <v>2010</v>
      </c>
      <c r="D73" s="319" t="s">
        <v>14</v>
      </c>
      <c r="E73" s="320"/>
      <c r="F73" s="156">
        <v>2934</v>
      </c>
      <c r="G73" s="177">
        <v>1628</v>
      </c>
      <c r="H73" s="177">
        <v>1925</v>
      </c>
      <c r="I73" s="178">
        <v>2407</v>
      </c>
      <c r="J73" s="181"/>
      <c r="K73" s="156">
        <f t="shared" ref="K73:K78" si="145">BF73</f>
        <v>261</v>
      </c>
      <c r="L73" s="177">
        <f t="shared" ref="L73:L78" si="146">AY73</f>
        <v>128</v>
      </c>
      <c r="M73" s="177">
        <f t="shared" ref="M73:M78" si="147">BD73</f>
        <v>692</v>
      </c>
      <c r="N73" s="177">
        <f t="shared" ref="N73:N78" si="148">AW73</f>
        <v>93</v>
      </c>
      <c r="O73" s="177">
        <f t="shared" ref="O73:O78" si="149">BE73</f>
        <v>141</v>
      </c>
      <c r="P73" s="177">
        <f t="shared" ref="P73:P78" si="150">SUM(AZ73,BA73)</f>
        <v>467</v>
      </c>
      <c r="Q73" s="177">
        <f>'2010'!AU73</f>
        <v>256</v>
      </c>
      <c r="R73" s="177">
        <f t="shared" ref="R73:R78" si="151">SUM(AT73,AX73)</f>
        <v>320</v>
      </c>
      <c r="S73" s="177">
        <f t="shared" ref="S73:S78" si="152">AV73</f>
        <v>167</v>
      </c>
      <c r="T73" s="177">
        <f t="shared" ref="T73:U78" si="153">BB73</f>
        <v>195</v>
      </c>
      <c r="U73" s="179">
        <f t="shared" si="153"/>
        <v>214</v>
      </c>
      <c r="V73" s="177">
        <f t="shared" ref="V73:V78" si="154">SUM(BG73,BJ73)</f>
        <v>118</v>
      </c>
      <c r="W73" s="177">
        <f t="shared" ref="W73:W78" si="155">BR73</f>
        <v>139</v>
      </c>
      <c r="X73" s="177">
        <f t="shared" ref="X73:X78" si="156">SUM(BH73,BI73)</f>
        <v>350</v>
      </c>
      <c r="Y73" s="177">
        <f t="shared" ref="Y73:Y78" si="157">SUM(BK73,BL73,BN73)</f>
        <v>461</v>
      </c>
      <c r="Z73" s="177">
        <f t="shared" ref="Z73:Z78" si="158">BM73</f>
        <v>333</v>
      </c>
      <c r="AA73" s="177">
        <f t="shared" ref="AA73:AA78" si="159">SUM(BO73,BQ73)</f>
        <v>125</v>
      </c>
      <c r="AB73" s="179">
        <f t="shared" ref="AB73:AB78" si="160">BP73</f>
        <v>92</v>
      </c>
      <c r="AC73" s="177">
        <f t="shared" ref="AC73:AC78" si="161">BX73</f>
        <v>196</v>
      </c>
      <c r="AD73" s="177">
        <f t="shared" ref="AD73:AD78" si="162">BU73</f>
        <v>154</v>
      </c>
      <c r="AE73" s="177">
        <f t="shared" ref="AE73:AE78" si="163">SUM(BS73,BT73)</f>
        <v>313</v>
      </c>
      <c r="AF73" s="177">
        <f t="shared" ref="AF73:AF78" si="164">CA73</f>
        <v>95</v>
      </c>
      <c r="AG73" s="177">
        <f t="shared" ref="AG73:AG78" si="165">BV73</f>
        <v>426</v>
      </c>
      <c r="AH73" s="177">
        <f t="shared" ref="AH73:AH78" si="166">BZ73</f>
        <v>194</v>
      </c>
      <c r="AI73" s="177">
        <f t="shared" ref="AI73:AI78" si="167">BW73</f>
        <v>199</v>
      </c>
      <c r="AJ73" s="177">
        <f t="shared" ref="AJ73:AJ78" si="168">BY73</f>
        <v>150</v>
      </c>
      <c r="AK73" s="179">
        <f t="shared" ref="AK73:AK78" si="169">CB73</f>
        <v>198</v>
      </c>
      <c r="AL73" s="177">
        <f t="shared" ref="AL73:AL78" si="170">CE73</f>
        <v>317</v>
      </c>
      <c r="AM73" s="177">
        <f t="shared" ref="AM73:AM78" si="171">CH73</f>
        <v>348</v>
      </c>
      <c r="AN73" s="177">
        <f t="shared" ref="AN73:AN78" si="172">CJ73</f>
        <v>190</v>
      </c>
      <c r="AO73" s="177">
        <f t="shared" ref="AO73:AP78" si="173">CC73</f>
        <v>306</v>
      </c>
      <c r="AP73" s="177">
        <f t="shared" si="173"/>
        <v>195</v>
      </c>
      <c r="AQ73" s="177">
        <f t="shared" ref="AQ73:AQ78" si="174">CK73</f>
        <v>347</v>
      </c>
      <c r="AR73" s="177">
        <f t="shared" ref="AR73:AR78" si="175">CI73</f>
        <v>181</v>
      </c>
      <c r="AS73" s="178">
        <f t="shared" ref="AS73:AS78" si="176">SUM(CF73,CG73)</f>
        <v>523</v>
      </c>
      <c r="AT73" s="177">
        <v>25</v>
      </c>
      <c r="AU73" s="177">
        <v>256</v>
      </c>
      <c r="AV73" s="177">
        <v>167</v>
      </c>
      <c r="AW73" s="177">
        <v>93</v>
      </c>
      <c r="AX73" s="177">
        <v>295</v>
      </c>
      <c r="AY73" s="177">
        <v>128</v>
      </c>
      <c r="AZ73" s="177">
        <v>53</v>
      </c>
      <c r="BA73" s="177">
        <v>414</v>
      </c>
      <c r="BB73" s="177">
        <v>195</v>
      </c>
      <c r="BC73" s="177">
        <v>214</v>
      </c>
      <c r="BD73" s="177">
        <v>692</v>
      </c>
      <c r="BE73" s="177">
        <v>141</v>
      </c>
      <c r="BF73" s="179">
        <v>261</v>
      </c>
      <c r="BG73" s="177">
        <v>5</v>
      </c>
      <c r="BH73" s="177">
        <v>25</v>
      </c>
      <c r="BI73" s="177">
        <v>325</v>
      </c>
      <c r="BJ73" s="177">
        <v>113</v>
      </c>
      <c r="BK73" s="177">
        <v>28</v>
      </c>
      <c r="BL73" s="177">
        <v>42</v>
      </c>
      <c r="BM73" s="177">
        <v>333</v>
      </c>
      <c r="BN73" s="177">
        <v>391</v>
      </c>
      <c r="BO73" s="177">
        <v>6</v>
      </c>
      <c r="BP73" s="177">
        <v>92</v>
      </c>
      <c r="BQ73" s="177">
        <v>119</v>
      </c>
      <c r="BR73" s="179">
        <v>139</v>
      </c>
      <c r="BS73" s="177">
        <v>17</v>
      </c>
      <c r="BT73" s="177">
        <v>296</v>
      </c>
      <c r="BU73" s="177">
        <v>154</v>
      </c>
      <c r="BV73" s="177">
        <v>426</v>
      </c>
      <c r="BW73" s="177">
        <v>199</v>
      </c>
      <c r="BX73" s="177">
        <v>196</v>
      </c>
      <c r="BY73" s="177">
        <v>150</v>
      </c>
      <c r="BZ73" s="177">
        <v>194</v>
      </c>
      <c r="CA73" s="177">
        <v>95</v>
      </c>
      <c r="CB73" s="179">
        <v>198</v>
      </c>
      <c r="CC73" s="177">
        <v>306</v>
      </c>
      <c r="CD73" s="177">
        <v>195</v>
      </c>
      <c r="CE73" s="177">
        <v>317</v>
      </c>
      <c r="CF73" s="177">
        <v>43</v>
      </c>
      <c r="CG73" s="177">
        <v>480</v>
      </c>
      <c r="CH73" s="177">
        <v>348</v>
      </c>
      <c r="CI73" s="177">
        <v>181</v>
      </c>
      <c r="CJ73" s="177">
        <v>190</v>
      </c>
      <c r="CK73" s="178">
        <v>347</v>
      </c>
      <c r="CL73" s="180">
        <v>8894</v>
      </c>
    </row>
    <row r="74" spans="1:90">
      <c r="A74" s="93">
        <f>ROWS($A$3:A72)</f>
        <v>70</v>
      </c>
      <c r="B74" s="106" t="s">
        <v>91</v>
      </c>
      <c r="C74" s="243"/>
      <c r="D74" s="319" t="s">
        <v>14</v>
      </c>
      <c r="E74" s="320"/>
      <c r="F74" s="156">
        <v>465</v>
      </c>
      <c r="G74" s="177">
        <v>243</v>
      </c>
      <c r="H74" s="177">
        <v>314</v>
      </c>
      <c r="I74" s="178">
        <v>188</v>
      </c>
      <c r="J74" s="181"/>
      <c r="K74" s="156">
        <f t="shared" si="145"/>
        <v>46</v>
      </c>
      <c r="L74" s="177">
        <f t="shared" si="146"/>
        <v>76</v>
      </c>
      <c r="M74" s="177">
        <f t="shared" si="147"/>
        <v>12</v>
      </c>
      <c r="N74" s="177">
        <f t="shared" si="148"/>
        <v>30</v>
      </c>
      <c r="O74" s="177">
        <f t="shared" si="149"/>
        <v>12</v>
      </c>
      <c r="P74" s="177">
        <f t="shared" si="150"/>
        <v>50</v>
      </c>
      <c r="Q74" s="177">
        <f>'2010'!AU74</f>
        <v>20</v>
      </c>
      <c r="R74" s="177">
        <f t="shared" si="151"/>
        <v>137</v>
      </c>
      <c r="S74" s="177">
        <f t="shared" si="152"/>
        <v>47</v>
      </c>
      <c r="T74" s="177">
        <f t="shared" si="153"/>
        <v>16</v>
      </c>
      <c r="U74" s="179">
        <f t="shared" si="153"/>
        <v>19</v>
      </c>
      <c r="V74" s="177">
        <f t="shared" si="154"/>
        <v>27</v>
      </c>
      <c r="W74" s="177">
        <f t="shared" si="155"/>
        <v>10</v>
      </c>
      <c r="X74" s="177">
        <f t="shared" si="156"/>
        <v>51</v>
      </c>
      <c r="Y74" s="177">
        <f t="shared" si="157"/>
        <v>86</v>
      </c>
      <c r="Z74" s="177">
        <f t="shared" si="158"/>
        <v>18</v>
      </c>
      <c r="AA74" s="177">
        <f t="shared" si="159"/>
        <v>29</v>
      </c>
      <c r="AB74" s="179">
        <f t="shared" si="160"/>
        <v>22</v>
      </c>
      <c r="AC74" s="177">
        <f t="shared" si="161"/>
        <v>9</v>
      </c>
      <c r="AD74" s="177">
        <f t="shared" si="162"/>
        <v>29</v>
      </c>
      <c r="AE74" s="177">
        <f t="shared" si="163"/>
        <v>56</v>
      </c>
      <c r="AF74" s="177">
        <f t="shared" si="164"/>
        <v>29</v>
      </c>
      <c r="AG74" s="177">
        <f t="shared" si="165"/>
        <v>63</v>
      </c>
      <c r="AH74" s="177">
        <f t="shared" si="166"/>
        <v>98</v>
      </c>
      <c r="AI74" s="177">
        <f t="shared" si="167"/>
        <v>11</v>
      </c>
      <c r="AJ74" s="177">
        <f t="shared" si="168"/>
        <v>6</v>
      </c>
      <c r="AK74" s="179">
        <f t="shared" si="169"/>
        <v>13</v>
      </c>
      <c r="AL74" s="177">
        <f t="shared" si="170"/>
        <v>16</v>
      </c>
      <c r="AM74" s="177">
        <f t="shared" si="171"/>
        <v>27</v>
      </c>
      <c r="AN74" s="177">
        <f t="shared" si="172"/>
        <v>29</v>
      </c>
      <c r="AO74" s="177">
        <f t="shared" si="173"/>
        <v>26</v>
      </c>
      <c r="AP74" s="177">
        <f t="shared" si="173"/>
        <v>24</v>
      </c>
      <c r="AQ74" s="177">
        <f t="shared" si="174"/>
        <v>13</v>
      </c>
      <c r="AR74" s="177">
        <f t="shared" si="175"/>
        <v>22</v>
      </c>
      <c r="AS74" s="178">
        <f t="shared" si="176"/>
        <v>31</v>
      </c>
      <c r="AT74" s="177">
        <v>42</v>
      </c>
      <c r="AU74" s="177">
        <v>20</v>
      </c>
      <c r="AV74" s="177">
        <v>47</v>
      </c>
      <c r="AW74" s="177">
        <v>30</v>
      </c>
      <c r="AX74" s="177">
        <v>95</v>
      </c>
      <c r="AY74" s="177">
        <v>76</v>
      </c>
      <c r="AZ74" s="177">
        <v>10</v>
      </c>
      <c r="BA74" s="177">
        <v>40</v>
      </c>
      <c r="BB74" s="177">
        <v>16</v>
      </c>
      <c r="BC74" s="177">
        <v>19</v>
      </c>
      <c r="BD74" s="177">
        <v>12</v>
      </c>
      <c r="BE74" s="177">
        <v>12</v>
      </c>
      <c r="BF74" s="179">
        <v>46</v>
      </c>
      <c r="BG74" s="177">
        <v>8</v>
      </c>
      <c r="BH74" s="177">
        <v>15</v>
      </c>
      <c r="BI74" s="177">
        <v>36</v>
      </c>
      <c r="BJ74" s="177">
        <v>19</v>
      </c>
      <c r="BK74" s="177">
        <v>28</v>
      </c>
      <c r="BL74" s="177">
        <v>12</v>
      </c>
      <c r="BM74" s="177">
        <v>18</v>
      </c>
      <c r="BN74" s="177">
        <v>46</v>
      </c>
      <c r="BO74" s="177">
        <v>7</v>
      </c>
      <c r="BP74" s="177">
        <v>22</v>
      </c>
      <c r="BQ74" s="177">
        <v>22</v>
      </c>
      <c r="BR74" s="179">
        <v>10</v>
      </c>
      <c r="BS74" s="177">
        <v>9</v>
      </c>
      <c r="BT74" s="177">
        <v>47</v>
      </c>
      <c r="BU74" s="177">
        <v>29</v>
      </c>
      <c r="BV74" s="177">
        <v>63</v>
      </c>
      <c r="BW74" s="177">
        <v>11</v>
      </c>
      <c r="BX74" s="177">
        <v>9</v>
      </c>
      <c r="BY74" s="177">
        <v>6</v>
      </c>
      <c r="BZ74" s="177">
        <v>98</v>
      </c>
      <c r="CA74" s="177">
        <v>29</v>
      </c>
      <c r="CB74" s="179">
        <v>13</v>
      </c>
      <c r="CC74" s="177">
        <v>26</v>
      </c>
      <c r="CD74" s="177">
        <v>24</v>
      </c>
      <c r="CE74" s="177">
        <v>16</v>
      </c>
      <c r="CF74" s="177">
        <v>11</v>
      </c>
      <c r="CG74" s="177">
        <v>20</v>
      </c>
      <c r="CH74" s="177">
        <v>27</v>
      </c>
      <c r="CI74" s="177">
        <v>22</v>
      </c>
      <c r="CJ74" s="177">
        <v>29</v>
      </c>
      <c r="CK74" s="178">
        <v>13</v>
      </c>
      <c r="CL74" s="180">
        <v>1210</v>
      </c>
    </row>
    <row r="75" spans="1:90">
      <c r="A75" s="93">
        <f>ROWS($A$3:A73)</f>
        <v>71</v>
      </c>
      <c r="B75" s="106" t="s">
        <v>92</v>
      </c>
      <c r="C75" s="243"/>
      <c r="D75" s="319" t="s">
        <v>14</v>
      </c>
      <c r="E75" s="320"/>
      <c r="F75" s="156">
        <v>3016</v>
      </c>
      <c r="G75" s="177">
        <v>779</v>
      </c>
      <c r="H75" s="177">
        <v>4390</v>
      </c>
      <c r="I75" s="178">
        <v>1072</v>
      </c>
      <c r="J75" s="181"/>
      <c r="K75" s="156">
        <f t="shared" si="145"/>
        <v>12</v>
      </c>
      <c r="L75" s="177">
        <f t="shared" si="146"/>
        <v>446</v>
      </c>
      <c r="M75" s="177">
        <f t="shared" si="147"/>
        <v>200</v>
      </c>
      <c r="N75" s="177">
        <f t="shared" si="148"/>
        <v>33</v>
      </c>
      <c r="O75" s="177" t="str">
        <f t="shared" si="149"/>
        <v>*</v>
      </c>
      <c r="P75" s="177">
        <f t="shared" si="150"/>
        <v>1287</v>
      </c>
      <c r="Q75" s="177">
        <f>'2010'!AU75</f>
        <v>31</v>
      </c>
      <c r="R75" s="177">
        <f t="shared" si="151"/>
        <v>600</v>
      </c>
      <c r="S75" s="177">
        <f t="shared" si="152"/>
        <v>81</v>
      </c>
      <c r="T75" s="177">
        <f t="shared" si="153"/>
        <v>316</v>
      </c>
      <c r="U75" s="179" t="str">
        <f t="shared" si="153"/>
        <v>*</v>
      </c>
      <c r="V75" s="177">
        <f t="shared" si="154"/>
        <v>334</v>
      </c>
      <c r="W75" s="177" t="str">
        <f t="shared" si="155"/>
        <v>*</v>
      </c>
      <c r="X75" s="177">
        <f t="shared" si="156"/>
        <v>145</v>
      </c>
      <c r="Y75" s="177">
        <f t="shared" si="157"/>
        <v>197</v>
      </c>
      <c r="Z75" s="177">
        <f t="shared" si="158"/>
        <v>32</v>
      </c>
      <c r="AA75" s="177">
        <f t="shared" si="159"/>
        <v>63</v>
      </c>
      <c r="AB75" s="179" t="str">
        <f t="shared" si="160"/>
        <v xml:space="preserve"> -</v>
      </c>
      <c r="AC75" s="177" t="str">
        <f t="shared" si="161"/>
        <v xml:space="preserve"> -</v>
      </c>
      <c r="AD75" s="177">
        <f t="shared" si="162"/>
        <v>602</v>
      </c>
      <c r="AE75" s="177">
        <f t="shared" si="163"/>
        <v>1615</v>
      </c>
      <c r="AF75" s="177">
        <f t="shared" si="164"/>
        <v>249</v>
      </c>
      <c r="AG75" s="177">
        <f t="shared" si="165"/>
        <v>1758</v>
      </c>
      <c r="AH75" s="177">
        <f t="shared" si="166"/>
        <v>116</v>
      </c>
      <c r="AI75" s="177" t="str">
        <f t="shared" si="167"/>
        <v>*</v>
      </c>
      <c r="AJ75" s="177" t="str">
        <f t="shared" si="168"/>
        <v>*</v>
      </c>
      <c r="AK75" s="179">
        <f t="shared" si="169"/>
        <v>43</v>
      </c>
      <c r="AL75" s="177" t="str">
        <f t="shared" si="170"/>
        <v>*</v>
      </c>
      <c r="AM75" s="177">
        <f t="shared" si="171"/>
        <v>6</v>
      </c>
      <c r="AN75" s="177">
        <f t="shared" si="172"/>
        <v>137</v>
      </c>
      <c r="AO75" s="177">
        <f t="shared" si="173"/>
        <v>29</v>
      </c>
      <c r="AP75" s="177">
        <f t="shared" si="173"/>
        <v>13</v>
      </c>
      <c r="AQ75" s="177">
        <f t="shared" si="174"/>
        <v>13</v>
      </c>
      <c r="AR75" s="177">
        <f t="shared" si="175"/>
        <v>859</v>
      </c>
      <c r="AS75" s="178">
        <f t="shared" si="176"/>
        <v>11</v>
      </c>
      <c r="AT75" s="177">
        <v>96</v>
      </c>
      <c r="AU75" s="177">
        <v>31</v>
      </c>
      <c r="AV75" s="177">
        <v>81</v>
      </c>
      <c r="AW75" s="177">
        <v>33</v>
      </c>
      <c r="AX75" s="177">
        <v>504</v>
      </c>
      <c r="AY75" s="177">
        <v>446</v>
      </c>
      <c r="AZ75" s="177">
        <v>97</v>
      </c>
      <c r="BA75" s="177">
        <v>1190</v>
      </c>
      <c r="BB75" s="177">
        <v>316</v>
      </c>
      <c r="BC75" s="177" t="s">
        <v>252</v>
      </c>
      <c r="BD75" s="177">
        <v>200</v>
      </c>
      <c r="BE75" s="177" t="s">
        <v>252</v>
      </c>
      <c r="BF75" s="179">
        <v>12</v>
      </c>
      <c r="BG75" s="177">
        <v>82</v>
      </c>
      <c r="BH75" s="177" t="s">
        <v>252</v>
      </c>
      <c r="BI75" s="177">
        <v>145</v>
      </c>
      <c r="BJ75" s="177">
        <v>252</v>
      </c>
      <c r="BK75" s="177">
        <v>11</v>
      </c>
      <c r="BL75" s="177" t="s">
        <v>301</v>
      </c>
      <c r="BM75" s="177">
        <v>32</v>
      </c>
      <c r="BN75" s="177">
        <v>186</v>
      </c>
      <c r="BO75" s="177" t="s">
        <v>252</v>
      </c>
      <c r="BP75" s="177" t="s">
        <v>301</v>
      </c>
      <c r="BQ75" s="177">
        <v>63</v>
      </c>
      <c r="BR75" s="179" t="s">
        <v>252</v>
      </c>
      <c r="BS75" s="177">
        <v>146</v>
      </c>
      <c r="BT75" s="177">
        <v>1469</v>
      </c>
      <c r="BU75" s="177">
        <v>602</v>
      </c>
      <c r="BV75" s="177">
        <v>1758</v>
      </c>
      <c r="BW75" s="177" t="s">
        <v>252</v>
      </c>
      <c r="BX75" s="177" t="s">
        <v>301</v>
      </c>
      <c r="BY75" s="177" t="s">
        <v>252</v>
      </c>
      <c r="BZ75" s="177">
        <v>116</v>
      </c>
      <c r="CA75" s="177">
        <v>249</v>
      </c>
      <c r="CB75" s="179">
        <v>43</v>
      </c>
      <c r="CC75" s="177">
        <v>29</v>
      </c>
      <c r="CD75" s="177">
        <v>13</v>
      </c>
      <c r="CE75" s="177" t="s">
        <v>252</v>
      </c>
      <c r="CF75" s="177" t="s">
        <v>252</v>
      </c>
      <c r="CG75" s="177">
        <v>11</v>
      </c>
      <c r="CH75" s="177">
        <v>6</v>
      </c>
      <c r="CI75" s="177">
        <v>859</v>
      </c>
      <c r="CJ75" s="177">
        <v>137</v>
      </c>
      <c r="CK75" s="178">
        <v>13</v>
      </c>
      <c r="CL75" s="180">
        <v>9257</v>
      </c>
    </row>
    <row r="76" spans="1:90">
      <c r="A76" s="93">
        <f>ROWS($A$3:A74)</f>
        <v>72</v>
      </c>
      <c r="B76" s="106" t="s">
        <v>93</v>
      </c>
      <c r="C76" s="243"/>
      <c r="D76" s="319" t="s">
        <v>14</v>
      </c>
      <c r="E76" s="320"/>
      <c r="F76" s="156">
        <v>4205</v>
      </c>
      <c r="G76" s="177">
        <v>1272</v>
      </c>
      <c r="H76" s="177">
        <v>5289</v>
      </c>
      <c r="I76" s="178">
        <v>5348</v>
      </c>
      <c r="J76" s="181"/>
      <c r="K76" s="156">
        <f t="shared" si="145"/>
        <v>1123</v>
      </c>
      <c r="L76" s="177">
        <f t="shared" si="146"/>
        <v>428</v>
      </c>
      <c r="M76" s="177">
        <f t="shared" si="147"/>
        <v>179</v>
      </c>
      <c r="N76" s="177">
        <f t="shared" si="148"/>
        <v>491</v>
      </c>
      <c r="O76" s="177">
        <f t="shared" si="149"/>
        <v>233</v>
      </c>
      <c r="P76" s="177">
        <f t="shared" si="150"/>
        <v>125</v>
      </c>
      <c r="Q76" s="177">
        <f>'2010'!AU76</f>
        <v>122</v>
      </c>
      <c r="R76" s="177">
        <f t="shared" si="151"/>
        <v>107</v>
      </c>
      <c r="S76" s="177">
        <f t="shared" si="152"/>
        <v>207</v>
      </c>
      <c r="T76" s="177">
        <f t="shared" si="153"/>
        <v>253</v>
      </c>
      <c r="U76" s="179">
        <f t="shared" si="153"/>
        <v>923</v>
      </c>
      <c r="V76" s="177">
        <f t="shared" si="154"/>
        <v>105</v>
      </c>
      <c r="W76" s="177">
        <f t="shared" si="155"/>
        <v>272</v>
      </c>
      <c r="X76" s="177">
        <f t="shared" si="156"/>
        <v>121</v>
      </c>
      <c r="Y76" s="177">
        <f t="shared" si="157"/>
        <v>179</v>
      </c>
      <c r="Z76" s="177">
        <f t="shared" si="158"/>
        <v>235</v>
      </c>
      <c r="AA76" s="177">
        <f t="shared" si="159"/>
        <v>123</v>
      </c>
      <c r="AB76" s="179">
        <f t="shared" si="160"/>
        <v>237</v>
      </c>
      <c r="AC76" s="177">
        <f t="shared" si="161"/>
        <v>688</v>
      </c>
      <c r="AD76" s="177">
        <f t="shared" si="162"/>
        <v>513</v>
      </c>
      <c r="AE76" s="177">
        <f t="shared" si="163"/>
        <v>870</v>
      </c>
      <c r="AF76" s="177">
        <f t="shared" si="164"/>
        <v>551</v>
      </c>
      <c r="AG76" s="177">
        <f t="shared" si="165"/>
        <v>898</v>
      </c>
      <c r="AH76" s="177">
        <f t="shared" si="166"/>
        <v>322</v>
      </c>
      <c r="AI76" s="177">
        <f t="shared" si="167"/>
        <v>392</v>
      </c>
      <c r="AJ76" s="177">
        <f t="shared" si="168"/>
        <v>225</v>
      </c>
      <c r="AK76" s="179">
        <f t="shared" si="169"/>
        <v>830</v>
      </c>
      <c r="AL76" s="177">
        <f t="shared" si="170"/>
        <v>327</v>
      </c>
      <c r="AM76" s="177">
        <f t="shared" si="171"/>
        <v>1026</v>
      </c>
      <c r="AN76" s="177">
        <f t="shared" si="172"/>
        <v>1983</v>
      </c>
      <c r="AO76" s="177">
        <f t="shared" si="173"/>
        <v>441</v>
      </c>
      <c r="AP76" s="177">
        <f t="shared" si="173"/>
        <v>99</v>
      </c>
      <c r="AQ76" s="177">
        <f t="shared" si="174"/>
        <v>498</v>
      </c>
      <c r="AR76" s="177">
        <f t="shared" si="175"/>
        <v>328</v>
      </c>
      <c r="AS76" s="178">
        <f t="shared" si="176"/>
        <v>646</v>
      </c>
      <c r="AT76" s="177" t="s">
        <v>252</v>
      </c>
      <c r="AU76" s="177">
        <v>122</v>
      </c>
      <c r="AV76" s="177">
        <v>207</v>
      </c>
      <c r="AW76" s="177">
        <v>491</v>
      </c>
      <c r="AX76" s="177">
        <v>107</v>
      </c>
      <c r="AY76" s="177">
        <v>428</v>
      </c>
      <c r="AZ76" s="177" t="s">
        <v>252</v>
      </c>
      <c r="BA76" s="177">
        <v>125</v>
      </c>
      <c r="BB76" s="177">
        <v>253</v>
      </c>
      <c r="BC76" s="177">
        <v>923</v>
      </c>
      <c r="BD76" s="177">
        <v>179</v>
      </c>
      <c r="BE76" s="177">
        <v>233</v>
      </c>
      <c r="BF76" s="179">
        <v>1123</v>
      </c>
      <c r="BG76" s="177">
        <v>15</v>
      </c>
      <c r="BH76" s="177">
        <v>8</v>
      </c>
      <c r="BI76" s="177">
        <v>113</v>
      </c>
      <c r="BJ76" s="177">
        <v>90</v>
      </c>
      <c r="BK76" s="177">
        <v>7</v>
      </c>
      <c r="BL76" s="177">
        <v>5</v>
      </c>
      <c r="BM76" s="177">
        <v>235</v>
      </c>
      <c r="BN76" s="177">
        <v>167</v>
      </c>
      <c r="BO76" s="177">
        <v>7</v>
      </c>
      <c r="BP76" s="177">
        <v>237</v>
      </c>
      <c r="BQ76" s="177">
        <v>116</v>
      </c>
      <c r="BR76" s="179">
        <v>272</v>
      </c>
      <c r="BS76" s="177">
        <v>20</v>
      </c>
      <c r="BT76" s="177">
        <v>850</v>
      </c>
      <c r="BU76" s="177">
        <v>513</v>
      </c>
      <c r="BV76" s="177">
        <v>898</v>
      </c>
      <c r="BW76" s="177">
        <v>392</v>
      </c>
      <c r="BX76" s="177">
        <v>688</v>
      </c>
      <c r="BY76" s="177">
        <v>225</v>
      </c>
      <c r="BZ76" s="177">
        <v>322</v>
      </c>
      <c r="CA76" s="177">
        <v>551</v>
      </c>
      <c r="CB76" s="179">
        <v>830</v>
      </c>
      <c r="CC76" s="177">
        <v>441</v>
      </c>
      <c r="CD76" s="177">
        <v>99</v>
      </c>
      <c r="CE76" s="177">
        <v>327</v>
      </c>
      <c r="CF76" s="177">
        <v>28</v>
      </c>
      <c r="CG76" s="177">
        <v>618</v>
      </c>
      <c r="CH76" s="177">
        <v>1026</v>
      </c>
      <c r="CI76" s="177">
        <v>328</v>
      </c>
      <c r="CJ76" s="177">
        <v>1983</v>
      </c>
      <c r="CK76" s="178">
        <v>498</v>
      </c>
      <c r="CL76" s="180">
        <v>16114</v>
      </c>
    </row>
    <row r="77" spans="1:90">
      <c r="A77" s="93">
        <f>ROWS($A$3:A75)</f>
        <v>73</v>
      </c>
      <c r="B77" s="106" t="s">
        <v>94</v>
      </c>
      <c r="C77" s="243"/>
      <c r="D77" s="319" t="s">
        <v>14</v>
      </c>
      <c r="E77" s="320"/>
      <c r="F77" s="156">
        <v>1140</v>
      </c>
      <c r="G77" s="177">
        <v>76</v>
      </c>
      <c r="H77" s="177">
        <v>119</v>
      </c>
      <c r="I77" s="178">
        <v>662</v>
      </c>
      <c r="J77" s="181"/>
      <c r="K77" s="156">
        <f t="shared" si="145"/>
        <v>123</v>
      </c>
      <c r="L77" s="177">
        <f t="shared" si="146"/>
        <v>22</v>
      </c>
      <c r="M77" s="177">
        <f t="shared" si="147"/>
        <v>132</v>
      </c>
      <c r="N77" s="177">
        <f t="shared" si="148"/>
        <v>21</v>
      </c>
      <c r="O77" s="177">
        <f t="shared" si="149"/>
        <v>46</v>
      </c>
      <c r="P77" s="177">
        <f t="shared" si="150"/>
        <v>29</v>
      </c>
      <c r="Q77" s="177">
        <f>'2010'!AU77</f>
        <v>14</v>
      </c>
      <c r="R77" s="177">
        <f t="shared" si="151"/>
        <v>39</v>
      </c>
      <c r="S77" s="177" t="str">
        <f t="shared" si="152"/>
        <v>*</v>
      </c>
      <c r="T77" s="177">
        <f t="shared" si="153"/>
        <v>168</v>
      </c>
      <c r="U77" s="179">
        <f t="shared" si="153"/>
        <v>538</v>
      </c>
      <c r="V77" s="177">
        <f t="shared" si="154"/>
        <v>0</v>
      </c>
      <c r="W77" s="177">
        <f t="shared" si="155"/>
        <v>10</v>
      </c>
      <c r="X77" s="177">
        <f t="shared" si="156"/>
        <v>0</v>
      </c>
      <c r="Y77" s="177">
        <f t="shared" si="157"/>
        <v>24</v>
      </c>
      <c r="Z77" s="177">
        <f t="shared" si="158"/>
        <v>24</v>
      </c>
      <c r="AA77" s="177">
        <f t="shared" si="159"/>
        <v>6</v>
      </c>
      <c r="AB77" s="179">
        <f t="shared" si="160"/>
        <v>3</v>
      </c>
      <c r="AC77" s="177">
        <f t="shared" si="161"/>
        <v>17</v>
      </c>
      <c r="AD77" s="177">
        <f t="shared" si="162"/>
        <v>6</v>
      </c>
      <c r="AE77" s="177">
        <f t="shared" si="163"/>
        <v>8</v>
      </c>
      <c r="AF77" s="177" t="str">
        <f t="shared" si="164"/>
        <v>*</v>
      </c>
      <c r="AG77" s="177">
        <f t="shared" si="165"/>
        <v>25</v>
      </c>
      <c r="AH77" s="177">
        <f t="shared" si="166"/>
        <v>16</v>
      </c>
      <c r="AI77" s="177">
        <f t="shared" si="167"/>
        <v>21</v>
      </c>
      <c r="AJ77" s="177" t="str">
        <f t="shared" si="168"/>
        <v>*</v>
      </c>
      <c r="AK77" s="179">
        <f t="shared" si="169"/>
        <v>19</v>
      </c>
      <c r="AL77" s="177">
        <f t="shared" si="170"/>
        <v>7</v>
      </c>
      <c r="AM77" s="177">
        <f t="shared" si="171"/>
        <v>156</v>
      </c>
      <c r="AN77" s="177">
        <f t="shared" si="172"/>
        <v>55</v>
      </c>
      <c r="AO77" s="177">
        <f t="shared" si="173"/>
        <v>28</v>
      </c>
      <c r="AP77" s="177">
        <f t="shared" si="173"/>
        <v>7</v>
      </c>
      <c r="AQ77" s="177">
        <f t="shared" si="174"/>
        <v>84</v>
      </c>
      <c r="AR77" s="177">
        <f t="shared" si="175"/>
        <v>13</v>
      </c>
      <c r="AS77" s="178">
        <f t="shared" si="176"/>
        <v>312</v>
      </c>
      <c r="AT77" s="177" t="s">
        <v>301</v>
      </c>
      <c r="AU77" s="177">
        <v>14</v>
      </c>
      <c r="AV77" s="177" t="s">
        <v>252</v>
      </c>
      <c r="AW77" s="177">
        <v>21</v>
      </c>
      <c r="AX77" s="177">
        <v>39</v>
      </c>
      <c r="AY77" s="177">
        <v>22</v>
      </c>
      <c r="AZ77" s="177" t="s">
        <v>252</v>
      </c>
      <c r="BA77" s="177">
        <v>29</v>
      </c>
      <c r="BB77" s="177">
        <v>168</v>
      </c>
      <c r="BC77" s="177">
        <v>538</v>
      </c>
      <c r="BD77" s="177">
        <v>132</v>
      </c>
      <c r="BE77" s="177">
        <v>46</v>
      </c>
      <c r="BF77" s="179">
        <v>123</v>
      </c>
      <c r="BG77" s="177" t="s">
        <v>301</v>
      </c>
      <c r="BH77" s="177" t="s">
        <v>301</v>
      </c>
      <c r="BI77" s="177" t="s">
        <v>252</v>
      </c>
      <c r="BJ77" s="177" t="s">
        <v>252</v>
      </c>
      <c r="BK77" s="177" t="s">
        <v>252</v>
      </c>
      <c r="BL77" s="177" t="s">
        <v>301</v>
      </c>
      <c r="BM77" s="177">
        <v>24</v>
      </c>
      <c r="BN77" s="177">
        <v>24</v>
      </c>
      <c r="BO77" s="177" t="s">
        <v>301</v>
      </c>
      <c r="BP77" s="177">
        <v>3</v>
      </c>
      <c r="BQ77" s="177">
        <v>6</v>
      </c>
      <c r="BR77" s="179">
        <v>10</v>
      </c>
      <c r="BS77" s="177" t="s">
        <v>301</v>
      </c>
      <c r="BT77" s="177">
        <v>8</v>
      </c>
      <c r="BU77" s="177">
        <v>6</v>
      </c>
      <c r="BV77" s="177">
        <v>25</v>
      </c>
      <c r="BW77" s="177">
        <v>21</v>
      </c>
      <c r="BX77" s="177">
        <v>17</v>
      </c>
      <c r="BY77" s="177" t="s">
        <v>252</v>
      </c>
      <c r="BZ77" s="177">
        <v>16</v>
      </c>
      <c r="CA77" s="177" t="s">
        <v>252</v>
      </c>
      <c r="CB77" s="179">
        <v>19</v>
      </c>
      <c r="CC77" s="177">
        <v>28</v>
      </c>
      <c r="CD77" s="177">
        <v>7</v>
      </c>
      <c r="CE77" s="177">
        <v>7</v>
      </c>
      <c r="CF77" s="177">
        <v>17</v>
      </c>
      <c r="CG77" s="177">
        <v>295</v>
      </c>
      <c r="CH77" s="177">
        <v>156</v>
      </c>
      <c r="CI77" s="177">
        <v>13</v>
      </c>
      <c r="CJ77" s="177">
        <v>55</v>
      </c>
      <c r="CK77" s="178">
        <v>84</v>
      </c>
      <c r="CL77" s="180">
        <v>1997</v>
      </c>
    </row>
    <row r="78" spans="1:90">
      <c r="A78" s="93">
        <f>ROWS($A$3:A76)</f>
        <v>74</v>
      </c>
      <c r="B78" s="106" t="s">
        <v>95</v>
      </c>
      <c r="C78" s="243"/>
      <c r="D78" s="319" t="s">
        <v>14</v>
      </c>
      <c r="E78" s="320"/>
      <c r="F78" s="156">
        <v>2637</v>
      </c>
      <c r="G78" s="177">
        <v>932</v>
      </c>
      <c r="H78" s="177">
        <v>1574</v>
      </c>
      <c r="I78" s="178">
        <v>1897</v>
      </c>
      <c r="J78" s="181"/>
      <c r="K78" s="156">
        <f t="shared" si="145"/>
        <v>262</v>
      </c>
      <c r="L78" s="177">
        <f t="shared" si="146"/>
        <v>188</v>
      </c>
      <c r="M78" s="177">
        <f t="shared" si="147"/>
        <v>337</v>
      </c>
      <c r="N78" s="177">
        <f t="shared" si="148"/>
        <v>114</v>
      </c>
      <c r="O78" s="177">
        <f t="shared" si="149"/>
        <v>143</v>
      </c>
      <c r="P78" s="177">
        <f t="shared" si="150"/>
        <v>348</v>
      </c>
      <c r="Q78" s="177">
        <f>'2010'!AU78</f>
        <v>161</v>
      </c>
      <c r="R78" s="177">
        <f t="shared" si="151"/>
        <v>319</v>
      </c>
      <c r="S78" s="177">
        <f t="shared" si="152"/>
        <v>138</v>
      </c>
      <c r="T78" s="177">
        <f t="shared" si="153"/>
        <v>281</v>
      </c>
      <c r="U78" s="179">
        <f t="shared" si="153"/>
        <v>323</v>
      </c>
      <c r="V78" s="177">
        <f t="shared" si="154"/>
        <v>66</v>
      </c>
      <c r="W78" s="177">
        <f t="shared" si="155"/>
        <v>63</v>
      </c>
      <c r="X78" s="177">
        <f t="shared" si="156"/>
        <v>131</v>
      </c>
      <c r="Y78" s="177">
        <f t="shared" si="157"/>
        <v>159</v>
      </c>
      <c r="Z78" s="177">
        <f t="shared" si="158"/>
        <v>236</v>
      </c>
      <c r="AA78" s="177">
        <f t="shared" si="159"/>
        <v>107</v>
      </c>
      <c r="AB78" s="179">
        <f t="shared" si="160"/>
        <v>110</v>
      </c>
      <c r="AC78" s="177">
        <f t="shared" si="161"/>
        <v>127</v>
      </c>
      <c r="AD78" s="177">
        <f t="shared" si="162"/>
        <v>118</v>
      </c>
      <c r="AE78" s="177">
        <f t="shared" si="163"/>
        <v>215</v>
      </c>
      <c r="AF78" s="177">
        <f t="shared" si="164"/>
        <v>141</v>
      </c>
      <c r="AG78" s="177">
        <f t="shared" si="165"/>
        <v>402</v>
      </c>
      <c r="AH78" s="177">
        <f t="shared" si="166"/>
        <v>154</v>
      </c>
      <c r="AI78" s="177">
        <f t="shared" si="167"/>
        <v>171</v>
      </c>
      <c r="AJ78" s="177">
        <f t="shared" si="168"/>
        <v>33</v>
      </c>
      <c r="AK78" s="179">
        <f t="shared" si="169"/>
        <v>139</v>
      </c>
      <c r="AL78" s="177">
        <f t="shared" si="170"/>
        <v>67</v>
      </c>
      <c r="AM78" s="177">
        <f t="shared" si="171"/>
        <v>285</v>
      </c>
      <c r="AN78" s="177">
        <f t="shared" si="172"/>
        <v>166</v>
      </c>
      <c r="AO78" s="177">
        <f t="shared" si="173"/>
        <v>228</v>
      </c>
      <c r="AP78" s="177">
        <f t="shared" si="173"/>
        <v>81</v>
      </c>
      <c r="AQ78" s="177">
        <f t="shared" si="174"/>
        <v>293</v>
      </c>
      <c r="AR78" s="177">
        <f t="shared" si="175"/>
        <v>274</v>
      </c>
      <c r="AS78" s="178">
        <f t="shared" si="176"/>
        <v>482</v>
      </c>
      <c r="AT78" s="177">
        <v>22</v>
      </c>
      <c r="AU78" s="177">
        <v>161</v>
      </c>
      <c r="AV78" s="177">
        <v>138</v>
      </c>
      <c r="AW78" s="177">
        <v>114</v>
      </c>
      <c r="AX78" s="177">
        <v>297</v>
      </c>
      <c r="AY78" s="177">
        <v>188</v>
      </c>
      <c r="AZ78" s="177">
        <v>20</v>
      </c>
      <c r="BA78" s="177">
        <v>328</v>
      </c>
      <c r="BB78" s="177">
        <v>281</v>
      </c>
      <c r="BC78" s="177">
        <v>323</v>
      </c>
      <c r="BD78" s="177">
        <v>337</v>
      </c>
      <c r="BE78" s="177">
        <v>143</v>
      </c>
      <c r="BF78" s="179">
        <v>262</v>
      </c>
      <c r="BG78" s="177" t="s">
        <v>252</v>
      </c>
      <c r="BH78" s="177">
        <v>5</v>
      </c>
      <c r="BI78" s="177">
        <v>126</v>
      </c>
      <c r="BJ78" s="177">
        <v>66</v>
      </c>
      <c r="BK78" s="177">
        <v>6</v>
      </c>
      <c r="BL78" s="177" t="s">
        <v>252</v>
      </c>
      <c r="BM78" s="177">
        <v>236</v>
      </c>
      <c r="BN78" s="177">
        <v>153</v>
      </c>
      <c r="BO78" s="177" t="s">
        <v>252</v>
      </c>
      <c r="BP78" s="177">
        <v>110</v>
      </c>
      <c r="BQ78" s="177">
        <v>107</v>
      </c>
      <c r="BR78" s="179">
        <v>63</v>
      </c>
      <c r="BS78" s="177" t="s">
        <v>252</v>
      </c>
      <c r="BT78" s="177">
        <v>215</v>
      </c>
      <c r="BU78" s="177">
        <v>118</v>
      </c>
      <c r="BV78" s="177">
        <v>402</v>
      </c>
      <c r="BW78" s="177">
        <v>171</v>
      </c>
      <c r="BX78" s="177">
        <v>127</v>
      </c>
      <c r="BY78" s="177">
        <v>33</v>
      </c>
      <c r="BZ78" s="177">
        <v>154</v>
      </c>
      <c r="CA78" s="177">
        <v>141</v>
      </c>
      <c r="CB78" s="179">
        <v>139</v>
      </c>
      <c r="CC78" s="177">
        <v>228</v>
      </c>
      <c r="CD78" s="177">
        <v>81</v>
      </c>
      <c r="CE78" s="177">
        <v>67</v>
      </c>
      <c r="CF78" s="177">
        <v>15</v>
      </c>
      <c r="CG78" s="177">
        <v>467</v>
      </c>
      <c r="CH78" s="177">
        <v>285</v>
      </c>
      <c r="CI78" s="177">
        <v>274</v>
      </c>
      <c r="CJ78" s="177">
        <v>166</v>
      </c>
      <c r="CK78" s="178">
        <v>293</v>
      </c>
      <c r="CL78" s="180">
        <v>7040</v>
      </c>
    </row>
    <row r="79" spans="1:90">
      <c r="A79" s="93">
        <f>ROWS($A$3:A77)</f>
        <v>75</v>
      </c>
      <c r="B79" s="67" t="s">
        <v>84</v>
      </c>
      <c r="C79" s="244">
        <v>2011</v>
      </c>
      <c r="D79" s="321"/>
      <c r="E79" s="320"/>
      <c r="F79" s="156"/>
      <c r="G79" s="177"/>
      <c r="H79" s="177"/>
      <c r="I79" s="178"/>
      <c r="J79" s="181"/>
      <c r="K79" s="156"/>
      <c r="L79" s="177"/>
      <c r="M79" s="177"/>
      <c r="N79" s="177"/>
      <c r="O79" s="177"/>
      <c r="P79" s="177"/>
      <c r="Q79" s="177"/>
      <c r="R79" s="177"/>
      <c r="S79" s="177"/>
      <c r="T79" s="177"/>
      <c r="U79" s="179"/>
      <c r="V79" s="177"/>
      <c r="W79" s="177"/>
      <c r="X79" s="177"/>
      <c r="Y79" s="177"/>
      <c r="Z79" s="177"/>
      <c r="AA79" s="177"/>
      <c r="AB79" s="179"/>
      <c r="AC79" s="177"/>
      <c r="AD79" s="177"/>
      <c r="AE79" s="177"/>
      <c r="AF79" s="177"/>
      <c r="AG79" s="177"/>
      <c r="AH79" s="177"/>
      <c r="AI79" s="177"/>
      <c r="AJ79" s="177"/>
      <c r="AK79" s="179"/>
      <c r="AL79" s="177"/>
      <c r="AM79" s="177"/>
      <c r="AN79" s="177"/>
      <c r="AO79" s="177"/>
      <c r="AP79" s="177"/>
      <c r="AQ79" s="177"/>
      <c r="AR79" s="177"/>
      <c r="AS79" s="178"/>
      <c r="AT79" s="177"/>
      <c r="AU79" s="177"/>
      <c r="AV79" s="177"/>
      <c r="AW79" s="177"/>
      <c r="AX79" s="177"/>
      <c r="AY79" s="177"/>
      <c r="AZ79" s="177"/>
      <c r="BA79" s="177"/>
      <c r="BB79" s="177"/>
      <c r="BC79" s="177"/>
      <c r="BD79" s="177"/>
      <c r="BE79" s="177"/>
      <c r="BF79" s="179"/>
      <c r="BG79" s="177"/>
      <c r="BH79" s="177"/>
      <c r="BI79" s="177"/>
      <c r="BJ79" s="177"/>
      <c r="BK79" s="177"/>
      <c r="BL79" s="177"/>
      <c r="BM79" s="177"/>
      <c r="BN79" s="177"/>
      <c r="BO79" s="177"/>
      <c r="BP79" s="177"/>
      <c r="BQ79" s="177"/>
      <c r="BR79" s="179"/>
      <c r="BS79" s="177"/>
      <c r="BT79" s="177"/>
      <c r="BU79" s="177"/>
      <c r="BV79" s="177"/>
      <c r="BW79" s="177"/>
      <c r="BX79" s="177"/>
      <c r="BY79" s="177"/>
      <c r="BZ79" s="177"/>
      <c r="CA79" s="177"/>
      <c r="CB79" s="179"/>
      <c r="CC79" s="177"/>
      <c r="CD79" s="177"/>
      <c r="CE79" s="177"/>
      <c r="CF79" s="177"/>
      <c r="CG79" s="177"/>
      <c r="CH79" s="177"/>
      <c r="CI79" s="177"/>
      <c r="CJ79" s="177"/>
      <c r="CK79" s="178"/>
      <c r="CL79" s="180" t="s">
        <v>60</v>
      </c>
    </row>
    <row r="80" spans="1:90">
      <c r="A80" s="93">
        <f>ROWS($A$3:A78)</f>
        <v>76</v>
      </c>
      <c r="B80" s="74" t="s">
        <v>96</v>
      </c>
      <c r="C80" s="289"/>
      <c r="D80" s="342" t="s">
        <v>14</v>
      </c>
      <c r="E80" s="344"/>
      <c r="F80" s="156">
        <f>SUM(AT80:BF80)</f>
        <v>15597</v>
      </c>
      <c r="G80" s="177">
        <f>SUM(BG80:BR80)</f>
        <v>5399</v>
      </c>
      <c r="H80" s="177">
        <f>SUM(BS80:CB80)</f>
        <v>14164</v>
      </c>
      <c r="I80" s="178">
        <f>SUM(CC80:CK80)</f>
        <v>13395</v>
      </c>
      <c r="J80" s="181"/>
      <c r="K80" s="156">
        <f t="shared" ref="K80:K85" si="177">BF80</f>
        <v>2390</v>
      </c>
      <c r="L80" s="177">
        <f t="shared" ref="L80:L85" si="178">AY80</f>
        <v>1179</v>
      </c>
      <c r="M80" s="177">
        <f t="shared" ref="M80:M85" si="179">BD80</f>
        <v>1817</v>
      </c>
      <c r="N80" s="177">
        <f t="shared" ref="N80:N85" si="180">AW80</f>
        <v>854</v>
      </c>
      <c r="O80" s="177">
        <f t="shared" ref="O80:O85" si="181">BE80</f>
        <v>629</v>
      </c>
      <c r="P80" s="177">
        <f>AZ80+BA80</f>
        <v>2012</v>
      </c>
      <c r="Q80" s="177">
        <f>AU80</f>
        <v>680</v>
      </c>
      <c r="R80" s="177">
        <f>AT80+AX80</f>
        <v>1297</v>
      </c>
      <c r="S80" s="177">
        <f t="shared" ref="S80:S85" si="182">AV80</f>
        <v>626</v>
      </c>
      <c r="T80" s="177">
        <f t="shared" ref="T80:U85" si="183">BB80</f>
        <v>1505</v>
      </c>
      <c r="U80" s="179">
        <f t="shared" si="183"/>
        <v>2608</v>
      </c>
      <c r="V80" s="177">
        <f>BG80+BJ80</f>
        <v>612</v>
      </c>
      <c r="W80" s="177">
        <f t="shared" ref="W80:W85" si="184">BR80</f>
        <v>812</v>
      </c>
      <c r="X80" s="177">
        <f>BH80+BI80</f>
        <v>798</v>
      </c>
      <c r="Y80" s="177">
        <f>BK80+BL80+BN80</f>
        <v>1015</v>
      </c>
      <c r="Z80" s="177">
        <f t="shared" ref="Z80:Z85" si="185">BM80</f>
        <v>1086</v>
      </c>
      <c r="AA80" s="177">
        <f>BO80+BQ80</f>
        <v>472</v>
      </c>
      <c r="AB80" s="179">
        <f t="shared" ref="AB80:AB85" si="186">BP80</f>
        <v>604</v>
      </c>
      <c r="AC80" s="177">
        <f t="shared" ref="AC80:AC85" si="187">BX80</f>
        <v>1304</v>
      </c>
      <c r="AD80" s="177">
        <f t="shared" ref="AD80:AD85" si="188">BU80</f>
        <v>1348</v>
      </c>
      <c r="AE80" s="177">
        <f>BS80+BT80</f>
        <v>2459</v>
      </c>
      <c r="AF80" s="177">
        <f t="shared" ref="AF80:AF85" si="189">CA80</f>
        <v>1177</v>
      </c>
      <c r="AG80" s="177">
        <f t="shared" ref="AG80:AG85" si="190">BV80</f>
        <v>3589</v>
      </c>
      <c r="AH80" s="177">
        <f t="shared" ref="AH80:AH85" si="191">BZ80</f>
        <v>1019</v>
      </c>
      <c r="AI80" s="177">
        <f t="shared" ref="AI80:AI85" si="192">BW80</f>
        <v>1078</v>
      </c>
      <c r="AJ80" s="177">
        <f t="shared" ref="AJ80:AJ85" si="193">BY80</f>
        <v>566</v>
      </c>
      <c r="AK80" s="179">
        <f t="shared" ref="AK80:AK85" si="194">CB80</f>
        <v>1624</v>
      </c>
      <c r="AL80" s="177">
        <f t="shared" ref="AL80:AL85" si="195">CE80</f>
        <v>941</v>
      </c>
      <c r="AM80" s="177">
        <f t="shared" ref="AM80:AM85" si="196">CH80</f>
        <v>2188</v>
      </c>
      <c r="AN80" s="177">
        <f t="shared" ref="AN80:AN85" si="197">CJ80</f>
        <v>3142</v>
      </c>
      <c r="AO80" s="177">
        <f t="shared" ref="AO80:AP85" si="198">CC80</f>
        <v>1211</v>
      </c>
      <c r="AP80" s="177">
        <f t="shared" si="198"/>
        <v>475</v>
      </c>
      <c r="AQ80" s="177">
        <f t="shared" ref="AQ80:AQ85" si="199">CK80</f>
        <v>1596</v>
      </c>
      <c r="AR80" s="177">
        <f t="shared" ref="AR80:AR85" si="200">CI80</f>
        <v>1524</v>
      </c>
      <c r="AS80" s="178">
        <f>CF80+CG80</f>
        <v>2318</v>
      </c>
      <c r="AT80" s="177">
        <v>145</v>
      </c>
      <c r="AU80" s="177">
        <v>680</v>
      </c>
      <c r="AV80" s="177">
        <v>626</v>
      </c>
      <c r="AW80" s="177">
        <v>854</v>
      </c>
      <c r="AX80" s="177">
        <v>1152</v>
      </c>
      <c r="AY80" s="177">
        <v>1179</v>
      </c>
      <c r="AZ80" s="177">
        <v>168</v>
      </c>
      <c r="BA80" s="177">
        <v>1844</v>
      </c>
      <c r="BB80" s="177">
        <v>1505</v>
      </c>
      <c r="BC80" s="177">
        <v>2608</v>
      </c>
      <c r="BD80" s="177">
        <v>1817</v>
      </c>
      <c r="BE80" s="177">
        <v>629</v>
      </c>
      <c r="BF80" s="179">
        <v>2390</v>
      </c>
      <c r="BG80" s="177">
        <v>86</v>
      </c>
      <c r="BH80" s="177">
        <v>46</v>
      </c>
      <c r="BI80" s="177">
        <v>752</v>
      </c>
      <c r="BJ80" s="177">
        <v>526</v>
      </c>
      <c r="BK80" s="177">
        <v>70</v>
      </c>
      <c r="BL80" s="177">
        <v>61</v>
      </c>
      <c r="BM80" s="177">
        <v>1086</v>
      </c>
      <c r="BN80" s="177">
        <v>884</v>
      </c>
      <c r="BO80" s="177">
        <v>16</v>
      </c>
      <c r="BP80" s="177">
        <v>604</v>
      </c>
      <c r="BQ80" s="177">
        <v>456</v>
      </c>
      <c r="BR80" s="179">
        <v>812</v>
      </c>
      <c r="BS80" s="177">
        <v>140</v>
      </c>
      <c r="BT80" s="177">
        <f>1381+938</f>
        <v>2319</v>
      </c>
      <c r="BU80" s="177">
        <v>1348</v>
      </c>
      <c r="BV80" s="177">
        <v>3589</v>
      </c>
      <c r="BW80" s="177">
        <v>1078</v>
      </c>
      <c r="BX80" s="177">
        <v>1304</v>
      </c>
      <c r="BY80" s="177">
        <v>566</v>
      </c>
      <c r="BZ80" s="177">
        <v>1019</v>
      </c>
      <c r="CA80" s="177">
        <v>1177</v>
      </c>
      <c r="CB80" s="179">
        <v>1624</v>
      </c>
      <c r="CC80" s="177">
        <v>1211</v>
      </c>
      <c r="CD80" s="177">
        <v>475</v>
      </c>
      <c r="CE80" s="177">
        <v>941</v>
      </c>
      <c r="CF80" s="177">
        <v>123</v>
      </c>
      <c r="CG80" s="177">
        <v>2195</v>
      </c>
      <c r="CH80" s="177">
        <v>2188</v>
      </c>
      <c r="CI80" s="177">
        <v>1524</v>
      </c>
      <c r="CJ80" s="177">
        <v>3142</v>
      </c>
      <c r="CK80" s="178">
        <v>1596</v>
      </c>
      <c r="CL80" s="189">
        <f>SUM(AT80:CK80)</f>
        <v>48555</v>
      </c>
    </row>
    <row r="81" spans="1:90">
      <c r="A81" s="93">
        <f>ROWS($A$3:A79)</f>
        <v>77</v>
      </c>
      <c r="B81" s="74" t="s">
        <v>97</v>
      </c>
      <c r="C81" s="288"/>
      <c r="D81" s="342" t="s">
        <v>14</v>
      </c>
      <c r="E81" s="344"/>
      <c r="F81" s="156">
        <f>SUM(AT81:BF81)</f>
        <v>536133</v>
      </c>
      <c r="G81" s="177">
        <f>SUM(BG81:BR81)</f>
        <v>241868</v>
      </c>
      <c r="H81" s="177">
        <f>SUM(BS81:CB81)</f>
        <v>414371</v>
      </c>
      <c r="I81" s="178">
        <f>SUM(CC81:CK81)</f>
        <v>367921</v>
      </c>
      <c r="J81" s="181"/>
      <c r="K81" s="156">
        <f t="shared" si="177"/>
        <v>57639</v>
      </c>
      <c r="L81" s="177">
        <f t="shared" si="178"/>
        <v>49143</v>
      </c>
      <c r="M81" s="177">
        <f t="shared" si="179"/>
        <v>68619</v>
      </c>
      <c r="N81" s="177">
        <f t="shared" si="180"/>
        <v>30894</v>
      </c>
      <c r="O81" s="177">
        <f t="shared" si="181"/>
        <v>20744</v>
      </c>
      <c r="P81" s="177">
        <f>AZ81+BA81</f>
        <v>72551</v>
      </c>
      <c r="Q81" s="177">
        <f>AU81</f>
        <v>35710</v>
      </c>
      <c r="R81" s="177">
        <f>AT81+AX81</f>
        <v>56940</v>
      </c>
      <c r="S81" s="177">
        <f t="shared" si="182"/>
        <v>34736</v>
      </c>
      <c r="T81" s="177">
        <f t="shared" si="183"/>
        <v>39603</v>
      </c>
      <c r="U81" s="179">
        <f t="shared" si="183"/>
        <v>69554</v>
      </c>
      <c r="V81" s="177">
        <f>BG81+BJ81</f>
        <v>26009</v>
      </c>
      <c r="W81" s="177">
        <f t="shared" si="184"/>
        <v>25340</v>
      </c>
      <c r="X81" s="177">
        <f>BH81+BI81</f>
        <v>41333</v>
      </c>
      <c r="Y81" s="177">
        <f>BK81+BL81+BN81</f>
        <v>40737</v>
      </c>
      <c r="Z81" s="177">
        <f t="shared" si="185"/>
        <v>48513</v>
      </c>
      <c r="AA81" s="177">
        <f>BO81+BQ81</f>
        <v>32860</v>
      </c>
      <c r="AB81" s="179">
        <f t="shared" si="186"/>
        <v>27076</v>
      </c>
      <c r="AC81" s="177">
        <f t="shared" si="187"/>
        <v>34383</v>
      </c>
      <c r="AD81" s="177">
        <f t="shared" si="188"/>
        <v>35476</v>
      </c>
      <c r="AE81" s="177">
        <f>BS81+BT81</f>
        <v>69541</v>
      </c>
      <c r="AF81" s="177">
        <f t="shared" si="189"/>
        <v>38210</v>
      </c>
      <c r="AG81" s="177">
        <f t="shared" si="190"/>
        <v>88780</v>
      </c>
      <c r="AH81" s="177">
        <f t="shared" si="191"/>
        <v>37134</v>
      </c>
      <c r="AI81" s="177">
        <f t="shared" si="192"/>
        <v>34925</v>
      </c>
      <c r="AJ81" s="177">
        <f t="shared" si="193"/>
        <v>26423</v>
      </c>
      <c r="AK81" s="179">
        <f t="shared" si="194"/>
        <v>49499</v>
      </c>
      <c r="AL81" s="177">
        <f t="shared" si="195"/>
        <v>39466</v>
      </c>
      <c r="AM81" s="177">
        <f t="shared" si="196"/>
        <v>57012</v>
      </c>
      <c r="AN81" s="177">
        <f t="shared" si="197"/>
        <v>52123</v>
      </c>
      <c r="AO81" s="177">
        <f t="shared" si="198"/>
        <v>47210</v>
      </c>
      <c r="AP81" s="177">
        <f t="shared" si="198"/>
        <v>30395</v>
      </c>
      <c r="AQ81" s="177">
        <f t="shared" si="199"/>
        <v>45990</v>
      </c>
      <c r="AR81" s="177">
        <f t="shared" si="200"/>
        <v>33352</v>
      </c>
      <c r="AS81" s="178">
        <f>CF81+CG81</f>
        <v>62373</v>
      </c>
      <c r="AT81" s="177">
        <v>5247</v>
      </c>
      <c r="AU81" s="177">
        <v>35710</v>
      </c>
      <c r="AV81" s="177">
        <v>34736</v>
      </c>
      <c r="AW81" s="177">
        <v>30894</v>
      </c>
      <c r="AX81" s="177">
        <v>51693</v>
      </c>
      <c r="AY81" s="177">
        <v>49143</v>
      </c>
      <c r="AZ81" s="177">
        <v>6708</v>
      </c>
      <c r="BA81" s="177">
        <v>65843</v>
      </c>
      <c r="BB81" s="177">
        <v>39603</v>
      </c>
      <c r="BC81" s="177">
        <v>69554</v>
      </c>
      <c r="BD81" s="177">
        <v>68619</v>
      </c>
      <c r="BE81" s="177">
        <v>20744</v>
      </c>
      <c r="BF81" s="179">
        <v>57639</v>
      </c>
      <c r="BG81" s="177">
        <v>2644</v>
      </c>
      <c r="BH81" s="177">
        <v>2579</v>
      </c>
      <c r="BI81" s="177">
        <v>38754</v>
      </c>
      <c r="BJ81" s="177">
        <v>23365</v>
      </c>
      <c r="BK81" s="177">
        <v>1797</v>
      </c>
      <c r="BL81" s="177">
        <v>2913</v>
      </c>
      <c r="BM81" s="177">
        <v>48513</v>
      </c>
      <c r="BN81" s="177">
        <v>36027</v>
      </c>
      <c r="BO81" s="177">
        <v>1033</v>
      </c>
      <c r="BP81" s="177">
        <v>27076</v>
      </c>
      <c r="BQ81" s="177">
        <v>31827</v>
      </c>
      <c r="BR81" s="179">
        <v>25340</v>
      </c>
      <c r="BS81" s="177">
        <v>5403</v>
      </c>
      <c r="BT81" s="177">
        <f>46704+17434</f>
        <v>64138</v>
      </c>
      <c r="BU81" s="177">
        <v>35476</v>
      </c>
      <c r="BV81" s="177">
        <v>88780</v>
      </c>
      <c r="BW81" s="177">
        <v>34925</v>
      </c>
      <c r="BX81" s="177">
        <v>34383</v>
      </c>
      <c r="BY81" s="177">
        <v>26423</v>
      </c>
      <c r="BZ81" s="177">
        <v>37134</v>
      </c>
      <c r="CA81" s="177">
        <v>38210</v>
      </c>
      <c r="CB81" s="179">
        <v>49499</v>
      </c>
      <c r="CC81" s="177">
        <v>47210</v>
      </c>
      <c r="CD81" s="177">
        <v>30395</v>
      </c>
      <c r="CE81" s="177">
        <v>39466</v>
      </c>
      <c r="CF81" s="177">
        <v>3962</v>
      </c>
      <c r="CG81" s="177">
        <v>58411</v>
      </c>
      <c r="CH81" s="177">
        <v>57012</v>
      </c>
      <c r="CI81" s="177">
        <v>33352</v>
      </c>
      <c r="CJ81" s="177">
        <v>52123</v>
      </c>
      <c r="CK81" s="178">
        <v>45990</v>
      </c>
      <c r="CL81" s="189">
        <f>SUM(AT81:CK81)</f>
        <v>1560293</v>
      </c>
    </row>
    <row r="82" spans="1:90">
      <c r="A82" s="93">
        <f>ROWS($A$3:A80)</f>
        <v>78</v>
      </c>
      <c r="B82" s="75" t="s">
        <v>98</v>
      </c>
      <c r="C82" s="345"/>
      <c r="D82" s="342" t="s">
        <v>14</v>
      </c>
      <c r="E82" s="344"/>
      <c r="F82" s="182">
        <f t="shared" ref="F82:AQ82" si="201">F81/F80</f>
        <v>34.374110405847276</v>
      </c>
      <c r="G82" s="183">
        <f t="shared" si="201"/>
        <v>44.798666419707352</v>
      </c>
      <c r="H82" s="183">
        <f t="shared" si="201"/>
        <v>29.255224512849477</v>
      </c>
      <c r="I82" s="184">
        <f t="shared" si="201"/>
        <v>27.467039940276223</v>
      </c>
      <c r="J82" s="181"/>
      <c r="K82" s="182">
        <f t="shared" si="201"/>
        <v>24.116736401673641</v>
      </c>
      <c r="L82" s="183">
        <f t="shared" si="201"/>
        <v>41.681933842239182</v>
      </c>
      <c r="M82" s="183">
        <f t="shared" si="201"/>
        <v>37.764997248211337</v>
      </c>
      <c r="N82" s="183">
        <f t="shared" si="201"/>
        <v>36.175644028103044</v>
      </c>
      <c r="O82" s="183">
        <f t="shared" si="201"/>
        <v>32.97933227344992</v>
      </c>
      <c r="P82" s="183">
        <f t="shared" si="201"/>
        <v>36.059145129224653</v>
      </c>
      <c r="Q82" s="183">
        <f t="shared" si="201"/>
        <v>52.514705882352942</v>
      </c>
      <c r="R82" s="183">
        <f t="shared" si="201"/>
        <v>43.901310717039323</v>
      </c>
      <c r="S82" s="183">
        <f t="shared" si="201"/>
        <v>55.488817891373799</v>
      </c>
      <c r="T82" s="183">
        <f t="shared" si="201"/>
        <v>26.314285714285713</v>
      </c>
      <c r="U82" s="188">
        <f t="shared" si="201"/>
        <v>26.66947852760736</v>
      </c>
      <c r="V82" s="183">
        <f t="shared" si="201"/>
        <v>42.498366013071895</v>
      </c>
      <c r="W82" s="183">
        <f t="shared" si="201"/>
        <v>31.206896551724139</v>
      </c>
      <c r="X82" s="183">
        <f t="shared" si="201"/>
        <v>51.79573934837093</v>
      </c>
      <c r="Y82" s="183">
        <f t="shared" si="201"/>
        <v>40.134975369458125</v>
      </c>
      <c r="Z82" s="183">
        <f t="shared" si="201"/>
        <v>44.671270718232044</v>
      </c>
      <c r="AA82" s="183">
        <f t="shared" si="201"/>
        <v>69.618644067796609</v>
      </c>
      <c r="AB82" s="188">
        <f t="shared" si="201"/>
        <v>44.827814569536422</v>
      </c>
      <c r="AC82" s="183">
        <f t="shared" si="201"/>
        <v>26.367331288343557</v>
      </c>
      <c r="AD82" s="183">
        <f t="shared" si="201"/>
        <v>26.317507418397625</v>
      </c>
      <c r="AE82" s="183">
        <f t="shared" si="201"/>
        <v>28.280195201301343</v>
      </c>
      <c r="AF82" s="183">
        <f t="shared" si="201"/>
        <v>32.463891248937976</v>
      </c>
      <c r="AG82" s="183">
        <f t="shared" si="201"/>
        <v>24.736695458344943</v>
      </c>
      <c r="AH82" s="183">
        <f t="shared" si="201"/>
        <v>36.441609421000983</v>
      </c>
      <c r="AI82" s="183">
        <f t="shared" si="201"/>
        <v>32.397959183673471</v>
      </c>
      <c r="AJ82" s="183">
        <f t="shared" si="201"/>
        <v>46.683745583038871</v>
      </c>
      <c r="AK82" s="188">
        <f t="shared" si="201"/>
        <v>30.479679802955665</v>
      </c>
      <c r="AL82" s="183">
        <f t="shared" si="201"/>
        <v>41.94048884165781</v>
      </c>
      <c r="AM82" s="183">
        <f t="shared" si="201"/>
        <v>26.056672760511884</v>
      </c>
      <c r="AN82" s="183">
        <f t="shared" si="201"/>
        <v>16.589115213239975</v>
      </c>
      <c r="AO82" s="183">
        <f t="shared" si="201"/>
        <v>38.984310487200659</v>
      </c>
      <c r="AP82" s="183">
        <f t="shared" si="201"/>
        <v>63.989473684210523</v>
      </c>
      <c r="AQ82" s="183">
        <f t="shared" si="201"/>
        <v>28.815789473684209</v>
      </c>
      <c r="AR82" s="183">
        <f>AR81/AR80</f>
        <v>21.884514435695539</v>
      </c>
      <c r="AS82" s="184">
        <f>AS81/AS80</f>
        <v>26.908110440034513</v>
      </c>
      <c r="AT82" s="183">
        <f>IF(OR(AT80&lt;0.1,AT81&lt;0.1),0,AT81/AT80)</f>
        <v>36.186206896551724</v>
      </c>
      <c r="AU82" s="183">
        <f>IF(OR(AU80&lt;0.1,AU81&lt;0.1),0,AU81/AU80)</f>
        <v>52.514705882352942</v>
      </c>
      <c r="AV82" s="183">
        <f t="shared" ref="AV82:BY82" si="202">IF(OR(AV80&lt;0.1,AV81&lt;0.1),0,AV81/AV80)</f>
        <v>55.488817891373799</v>
      </c>
      <c r="AW82" s="183">
        <f t="shared" si="202"/>
        <v>36.175644028103044</v>
      </c>
      <c r="AX82" s="183">
        <f>IF(OR(AX80&lt;0.1,AX81&lt;0.1),0,AX81/AX80)</f>
        <v>44.872395833333336</v>
      </c>
      <c r="AY82" s="183">
        <f t="shared" si="202"/>
        <v>41.681933842239182</v>
      </c>
      <c r="AZ82" s="183">
        <f t="shared" si="202"/>
        <v>39.928571428571431</v>
      </c>
      <c r="BA82" s="183">
        <f t="shared" si="202"/>
        <v>35.706616052060738</v>
      </c>
      <c r="BB82" s="183">
        <f t="shared" si="202"/>
        <v>26.314285714285713</v>
      </c>
      <c r="BC82" s="183">
        <f t="shared" si="202"/>
        <v>26.66947852760736</v>
      </c>
      <c r="BD82" s="183">
        <f t="shared" si="202"/>
        <v>37.764997248211337</v>
      </c>
      <c r="BE82" s="183">
        <f t="shared" si="202"/>
        <v>32.97933227344992</v>
      </c>
      <c r="BF82" s="188">
        <f t="shared" si="202"/>
        <v>24.116736401673641</v>
      </c>
      <c r="BG82" s="183">
        <f t="shared" si="202"/>
        <v>30.744186046511629</v>
      </c>
      <c r="BH82" s="183">
        <f>IF(OR(BH80&lt;0.1,BH81&lt;0.1),0,BH81/BH80)</f>
        <v>56.065217391304351</v>
      </c>
      <c r="BI82" s="183">
        <f>IF(OR(BI80&lt;0.1,BI81&lt;0.1),0,BI81/BI80)</f>
        <v>51.534574468085104</v>
      </c>
      <c r="BJ82" s="183">
        <f>IF(OR(BJ80&lt;0.1,BJ81&lt;0.1),0,BJ81/BJ80)</f>
        <v>44.420152091254749</v>
      </c>
      <c r="BK82" s="183">
        <f t="shared" si="202"/>
        <v>25.671428571428571</v>
      </c>
      <c r="BL82" s="183">
        <f t="shared" si="202"/>
        <v>47.754098360655739</v>
      </c>
      <c r="BM82" s="183">
        <f>IF(OR(BM80&lt;0.1,BM81&lt;0.1),0,BM81/BM80)</f>
        <v>44.671270718232044</v>
      </c>
      <c r="BN82" s="183">
        <f t="shared" si="202"/>
        <v>40.754524886877832</v>
      </c>
      <c r="BO82" s="183">
        <f t="shared" si="202"/>
        <v>64.5625</v>
      </c>
      <c r="BP82" s="183">
        <f t="shared" si="202"/>
        <v>44.827814569536422</v>
      </c>
      <c r="BQ82" s="183">
        <f>IF(OR(BQ80&lt;0.1,BQ81&lt;0.1),0,BQ81/BQ80)</f>
        <v>69.796052631578945</v>
      </c>
      <c r="BR82" s="188">
        <f t="shared" si="202"/>
        <v>31.206896551724139</v>
      </c>
      <c r="BS82" s="183">
        <f t="shared" si="202"/>
        <v>38.592857142857142</v>
      </c>
      <c r="BT82" s="183">
        <f t="shared" si="202"/>
        <v>27.657611039241051</v>
      </c>
      <c r="BU82" s="183">
        <f t="shared" si="202"/>
        <v>26.317507418397625</v>
      </c>
      <c r="BV82" s="183">
        <f t="shared" si="202"/>
        <v>24.736695458344943</v>
      </c>
      <c r="BW82" s="183">
        <f t="shared" si="202"/>
        <v>32.397959183673471</v>
      </c>
      <c r="BX82" s="183">
        <f t="shared" si="202"/>
        <v>26.367331288343557</v>
      </c>
      <c r="BY82" s="183">
        <f t="shared" si="202"/>
        <v>46.683745583038871</v>
      </c>
      <c r="BZ82" s="183">
        <f t="shared" ref="BZ82:CK82" si="203">IF(OR(BZ80&lt;0.1,BZ81&lt;0.1),0,BZ81/BZ80)</f>
        <v>36.441609421000983</v>
      </c>
      <c r="CA82" s="183">
        <f t="shared" si="203"/>
        <v>32.463891248937976</v>
      </c>
      <c r="CB82" s="188">
        <f t="shared" si="203"/>
        <v>30.479679802955665</v>
      </c>
      <c r="CC82" s="183">
        <f t="shared" si="203"/>
        <v>38.984310487200659</v>
      </c>
      <c r="CD82" s="183">
        <f t="shared" si="203"/>
        <v>63.989473684210523</v>
      </c>
      <c r="CE82" s="183">
        <f t="shared" si="203"/>
        <v>41.94048884165781</v>
      </c>
      <c r="CF82" s="183">
        <f t="shared" si="203"/>
        <v>32.211382113821138</v>
      </c>
      <c r="CG82" s="183">
        <f t="shared" si="203"/>
        <v>26.610933940774487</v>
      </c>
      <c r="CH82" s="183">
        <f t="shared" si="203"/>
        <v>26.056672760511884</v>
      </c>
      <c r="CI82" s="183">
        <f t="shared" si="203"/>
        <v>21.884514435695539</v>
      </c>
      <c r="CJ82" s="183">
        <f t="shared" si="203"/>
        <v>16.589115213239975</v>
      </c>
      <c r="CK82" s="184">
        <f t="shared" si="203"/>
        <v>28.815789473684209</v>
      </c>
      <c r="CL82" s="189">
        <f>IF(OR(CL80&lt;0.1,CL81&lt;0.1),0,CL81/CL80)</f>
        <v>32.134548450211099</v>
      </c>
    </row>
    <row r="83" spans="1:90">
      <c r="A83" s="93">
        <f>ROWS($A$3:A81)</f>
        <v>79</v>
      </c>
      <c r="B83" s="74" t="s">
        <v>99</v>
      </c>
      <c r="C83" s="288"/>
      <c r="D83" s="342" t="s">
        <v>1</v>
      </c>
      <c r="E83" s="344"/>
      <c r="F83" s="157">
        <v>1.41</v>
      </c>
      <c r="G83" s="158">
        <v>1.21</v>
      </c>
      <c r="H83" s="158">
        <v>1.1200000000000001</v>
      </c>
      <c r="I83" s="159">
        <v>1.55</v>
      </c>
      <c r="J83" s="162"/>
      <c r="K83" s="157">
        <f t="shared" si="177"/>
        <v>1.71</v>
      </c>
      <c r="L83" s="158">
        <f t="shared" si="178"/>
        <v>0.82</v>
      </c>
      <c r="M83" s="158">
        <f t="shared" si="179"/>
        <v>1.78</v>
      </c>
      <c r="N83" s="158">
        <f t="shared" si="180"/>
        <v>1.27</v>
      </c>
      <c r="O83" s="158">
        <f t="shared" si="181"/>
        <v>1.7</v>
      </c>
      <c r="P83" s="158">
        <v>1.42</v>
      </c>
      <c r="Q83" s="158">
        <f>AU83</f>
        <v>0.77</v>
      </c>
      <c r="R83" s="158">
        <v>0.91</v>
      </c>
      <c r="S83" s="158">
        <f t="shared" si="182"/>
        <v>0.62</v>
      </c>
      <c r="T83" s="158">
        <f t="shared" si="183"/>
        <v>2.1800000000000002</v>
      </c>
      <c r="U83" s="160">
        <f t="shared" si="183"/>
        <v>2.15</v>
      </c>
      <c r="V83" s="158">
        <v>0.85</v>
      </c>
      <c r="W83" s="158">
        <f t="shared" si="184"/>
        <v>0.97</v>
      </c>
      <c r="X83" s="158">
        <v>1.24</v>
      </c>
      <c r="Y83" s="158">
        <v>1.59</v>
      </c>
      <c r="Z83" s="158">
        <f t="shared" si="185"/>
        <v>1.54</v>
      </c>
      <c r="AA83" s="158">
        <v>0.81</v>
      </c>
      <c r="AB83" s="160">
        <f t="shared" si="186"/>
        <v>0.78</v>
      </c>
      <c r="AC83" s="158">
        <f t="shared" si="187"/>
        <v>1.58</v>
      </c>
      <c r="AD83" s="158">
        <f t="shared" si="188"/>
        <v>0.83</v>
      </c>
      <c r="AE83" s="158">
        <v>1.25</v>
      </c>
      <c r="AF83" s="158">
        <f t="shared" si="189"/>
        <v>0.98</v>
      </c>
      <c r="AG83" s="158">
        <f t="shared" si="190"/>
        <v>0.84</v>
      </c>
      <c r="AH83" s="158">
        <f t="shared" si="191"/>
        <v>1.36</v>
      </c>
      <c r="AI83" s="158">
        <f t="shared" si="192"/>
        <v>1.17</v>
      </c>
      <c r="AJ83" s="158">
        <f t="shared" si="193"/>
        <v>1.1599999999999999</v>
      </c>
      <c r="AK83" s="160">
        <f t="shared" si="194"/>
        <v>1.41</v>
      </c>
      <c r="AL83" s="158">
        <f t="shared" si="195"/>
        <v>1</v>
      </c>
      <c r="AM83" s="158">
        <f t="shared" si="196"/>
        <v>1.89</v>
      </c>
      <c r="AN83" s="158">
        <f t="shared" si="197"/>
        <v>2.17</v>
      </c>
      <c r="AO83" s="158">
        <f t="shared" si="198"/>
        <v>1.07</v>
      </c>
      <c r="AP83" s="158">
        <f t="shared" si="198"/>
        <v>0.81</v>
      </c>
      <c r="AQ83" s="158">
        <f t="shared" si="199"/>
        <v>1.68</v>
      </c>
      <c r="AR83" s="158">
        <f t="shared" si="200"/>
        <v>1.59</v>
      </c>
      <c r="AS83" s="159">
        <v>1.81</v>
      </c>
      <c r="AT83" s="158">
        <v>0.62</v>
      </c>
      <c r="AU83" s="158">
        <v>0.77</v>
      </c>
      <c r="AV83" s="158">
        <v>0.62</v>
      </c>
      <c r="AW83" s="158">
        <v>1.27</v>
      </c>
      <c r="AX83" s="158">
        <v>0.93</v>
      </c>
      <c r="AY83" s="158">
        <v>0.82</v>
      </c>
      <c r="AZ83" s="158">
        <v>1.1100000000000001</v>
      </c>
      <c r="BA83" s="158">
        <v>1.45</v>
      </c>
      <c r="BB83" s="158">
        <v>2.1800000000000002</v>
      </c>
      <c r="BC83" s="158">
        <v>2.15</v>
      </c>
      <c r="BD83" s="158">
        <v>1.78</v>
      </c>
      <c r="BE83" s="158">
        <v>1.7</v>
      </c>
      <c r="BF83" s="160">
        <v>1.71</v>
      </c>
      <c r="BG83" s="158">
        <v>0.92</v>
      </c>
      <c r="BH83" s="158">
        <v>1.1499999999999999</v>
      </c>
      <c r="BI83" s="158">
        <v>1.25</v>
      </c>
      <c r="BJ83" s="158">
        <v>0.84</v>
      </c>
      <c r="BK83" s="158">
        <v>1.26</v>
      </c>
      <c r="BL83" s="158">
        <v>3.6</v>
      </c>
      <c r="BM83" s="158">
        <v>1.54</v>
      </c>
      <c r="BN83" s="158">
        <v>1.38</v>
      </c>
      <c r="BO83" s="158">
        <v>1.33</v>
      </c>
      <c r="BP83" s="158">
        <v>0.78</v>
      </c>
      <c r="BQ83" s="158">
        <v>0.79</v>
      </c>
      <c r="BR83" s="160">
        <v>0.97</v>
      </c>
      <c r="BS83" s="158">
        <v>0.87</v>
      </c>
      <c r="BT83" s="158">
        <v>1.25</v>
      </c>
      <c r="BU83" s="158">
        <v>0.83</v>
      </c>
      <c r="BV83" s="158">
        <v>0.84</v>
      </c>
      <c r="BW83" s="158">
        <v>1.17</v>
      </c>
      <c r="BX83" s="158">
        <v>1.58</v>
      </c>
      <c r="BY83" s="158">
        <v>1.1599999999999999</v>
      </c>
      <c r="BZ83" s="158">
        <v>1.36</v>
      </c>
      <c r="CA83" s="158">
        <v>0.98</v>
      </c>
      <c r="CB83" s="160">
        <v>1.41</v>
      </c>
      <c r="CC83" s="158">
        <v>1.07</v>
      </c>
      <c r="CD83" s="158">
        <v>0.81</v>
      </c>
      <c r="CE83" s="158">
        <v>1</v>
      </c>
      <c r="CF83" s="158">
        <v>1.6</v>
      </c>
      <c r="CG83" s="158">
        <v>1.82</v>
      </c>
      <c r="CH83" s="158">
        <v>1.89</v>
      </c>
      <c r="CI83" s="158">
        <v>1.59</v>
      </c>
      <c r="CJ83" s="158">
        <v>2.17</v>
      </c>
      <c r="CK83" s="159">
        <v>1.68</v>
      </c>
      <c r="CL83" s="161">
        <v>1.35</v>
      </c>
    </row>
    <row r="84" spans="1:90">
      <c r="A84" s="93">
        <f>ROWS($A$3:A82)</f>
        <v>80</v>
      </c>
      <c r="B84" s="74" t="s">
        <v>100</v>
      </c>
      <c r="C84" s="288"/>
      <c r="D84" s="342" t="s">
        <v>1</v>
      </c>
      <c r="E84" s="344"/>
      <c r="F84" s="157">
        <v>0.78</v>
      </c>
      <c r="G84" s="158">
        <v>0.68</v>
      </c>
      <c r="H84" s="158">
        <v>1.06</v>
      </c>
      <c r="I84" s="159">
        <v>1.22</v>
      </c>
      <c r="J84" s="162"/>
      <c r="K84" s="157">
        <f t="shared" si="177"/>
        <v>1.17</v>
      </c>
      <c r="L84" s="158">
        <f t="shared" si="178"/>
        <v>0.65</v>
      </c>
      <c r="M84" s="158">
        <f t="shared" si="179"/>
        <v>0.56000000000000005</v>
      </c>
      <c r="N84" s="158">
        <f t="shared" si="180"/>
        <v>0.93</v>
      </c>
      <c r="O84" s="158">
        <f t="shared" si="181"/>
        <v>1.0900000000000001</v>
      </c>
      <c r="P84" s="158">
        <v>0.56000000000000005</v>
      </c>
      <c r="Q84" s="158">
        <f>AU84</f>
        <v>0.52</v>
      </c>
      <c r="R84" s="158">
        <v>0.41</v>
      </c>
      <c r="S84" s="158">
        <f t="shared" si="182"/>
        <v>0.61</v>
      </c>
      <c r="T84" s="158">
        <f t="shared" si="183"/>
        <v>0.71</v>
      </c>
      <c r="U84" s="160">
        <f t="shared" si="183"/>
        <v>0.98</v>
      </c>
      <c r="V84" s="158">
        <v>0.63</v>
      </c>
      <c r="W84" s="158">
        <f t="shared" si="184"/>
        <v>0.95</v>
      </c>
      <c r="X84" s="158">
        <v>0.65</v>
      </c>
      <c r="Y84" s="158">
        <v>0.79</v>
      </c>
      <c r="Z84" s="158">
        <f t="shared" si="185"/>
        <v>0.65</v>
      </c>
      <c r="AA84" s="158">
        <v>0.5</v>
      </c>
      <c r="AB84" s="160">
        <f t="shared" si="186"/>
        <v>0.69</v>
      </c>
      <c r="AC84" s="158">
        <f t="shared" si="187"/>
        <v>1.42</v>
      </c>
      <c r="AD84" s="158">
        <f t="shared" si="188"/>
        <v>1.02</v>
      </c>
      <c r="AE84" s="158">
        <v>1.45</v>
      </c>
      <c r="AF84" s="158">
        <f t="shared" si="189"/>
        <v>0.9</v>
      </c>
      <c r="AG84" s="158">
        <f t="shared" si="190"/>
        <v>0.96</v>
      </c>
      <c r="AH84" s="158">
        <f t="shared" si="191"/>
        <v>0.91</v>
      </c>
      <c r="AI84" s="158">
        <f t="shared" si="192"/>
        <v>0.93</v>
      </c>
      <c r="AJ84" s="158">
        <f t="shared" si="193"/>
        <v>0.96</v>
      </c>
      <c r="AK84" s="160">
        <f t="shared" si="194"/>
        <v>1</v>
      </c>
      <c r="AL84" s="158">
        <f t="shared" si="195"/>
        <v>0.93</v>
      </c>
      <c r="AM84" s="158">
        <f t="shared" si="196"/>
        <v>1.31</v>
      </c>
      <c r="AN84" s="158">
        <f t="shared" si="197"/>
        <v>2.19</v>
      </c>
      <c r="AO84" s="158">
        <f t="shared" si="198"/>
        <v>0.98</v>
      </c>
      <c r="AP84" s="158">
        <f t="shared" si="198"/>
        <v>0.55000000000000004</v>
      </c>
      <c r="AQ84" s="158">
        <f t="shared" si="199"/>
        <v>1.06</v>
      </c>
      <c r="AR84" s="158">
        <f t="shared" si="200"/>
        <v>1.17</v>
      </c>
      <c r="AS84" s="159">
        <v>1.01</v>
      </c>
      <c r="AT84" s="158">
        <v>0.53</v>
      </c>
      <c r="AU84" s="158">
        <v>0.52</v>
      </c>
      <c r="AV84" s="158">
        <v>0.61</v>
      </c>
      <c r="AW84" s="158">
        <v>0.93</v>
      </c>
      <c r="AX84" s="158">
        <v>0.4</v>
      </c>
      <c r="AY84" s="158">
        <v>0.65</v>
      </c>
      <c r="AZ84" s="158">
        <v>0.45</v>
      </c>
      <c r="BA84" s="158">
        <v>0.56999999999999995</v>
      </c>
      <c r="BB84" s="158">
        <v>0.71</v>
      </c>
      <c r="BC84" s="158">
        <v>0.98</v>
      </c>
      <c r="BD84" s="158">
        <v>0.56000000000000005</v>
      </c>
      <c r="BE84" s="158">
        <v>1.0900000000000001</v>
      </c>
      <c r="BF84" s="160">
        <v>1.17</v>
      </c>
      <c r="BG84" s="158">
        <v>0.96</v>
      </c>
      <c r="BH84" s="158">
        <v>0.62</v>
      </c>
      <c r="BI84" s="158">
        <v>0.65</v>
      </c>
      <c r="BJ84" s="158">
        <v>0.6</v>
      </c>
      <c r="BK84" s="158">
        <v>0.8</v>
      </c>
      <c r="BL84" s="158">
        <v>1.1100000000000001</v>
      </c>
      <c r="BM84" s="158">
        <v>0.65</v>
      </c>
      <c r="BN84" s="158">
        <v>0.77</v>
      </c>
      <c r="BO84" s="158">
        <v>0.77</v>
      </c>
      <c r="BP84" s="158">
        <v>0.69</v>
      </c>
      <c r="BQ84" s="158">
        <v>0.49</v>
      </c>
      <c r="BR84" s="160">
        <v>0.95</v>
      </c>
      <c r="BS84" s="158">
        <v>1.61</v>
      </c>
      <c r="BT84" s="158">
        <v>1.45</v>
      </c>
      <c r="BU84" s="158">
        <v>1.02</v>
      </c>
      <c r="BV84" s="158">
        <v>0.96</v>
      </c>
      <c r="BW84" s="158">
        <v>0.93</v>
      </c>
      <c r="BX84" s="158">
        <v>1.42</v>
      </c>
      <c r="BY84" s="158">
        <v>0.96</v>
      </c>
      <c r="BZ84" s="158">
        <v>0.91</v>
      </c>
      <c r="CA84" s="158">
        <v>0.9</v>
      </c>
      <c r="CB84" s="160">
        <v>1</v>
      </c>
      <c r="CC84" s="158">
        <v>0.98</v>
      </c>
      <c r="CD84" s="158">
        <v>0.55000000000000004</v>
      </c>
      <c r="CE84" s="158">
        <v>0.93</v>
      </c>
      <c r="CF84" s="158">
        <v>0.76</v>
      </c>
      <c r="CG84" s="158">
        <v>1.03</v>
      </c>
      <c r="CH84" s="158">
        <v>1.31</v>
      </c>
      <c r="CI84" s="158">
        <v>1.17</v>
      </c>
      <c r="CJ84" s="158">
        <v>2.19</v>
      </c>
      <c r="CK84" s="159">
        <v>1.06</v>
      </c>
      <c r="CL84" s="161">
        <v>0.96</v>
      </c>
    </row>
    <row r="85" spans="1:90">
      <c r="A85" s="93">
        <f>ROWS($A$3:A83)</f>
        <v>81</v>
      </c>
      <c r="B85" s="74" t="s">
        <v>101</v>
      </c>
      <c r="C85" s="288"/>
      <c r="D85" s="342" t="s">
        <v>1</v>
      </c>
      <c r="E85" s="344"/>
      <c r="F85" s="157">
        <v>0.28000000000000003</v>
      </c>
      <c r="G85" s="158">
        <v>0.28000000000000003</v>
      </c>
      <c r="H85" s="158">
        <v>0.3</v>
      </c>
      <c r="I85" s="159">
        <v>1.03</v>
      </c>
      <c r="J85" s="162"/>
      <c r="K85" s="157">
        <f t="shared" si="177"/>
        <v>1.69</v>
      </c>
      <c r="L85" s="158">
        <f t="shared" si="178"/>
        <v>0.22</v>
      </c>
      <c r="M85" s="158">
        <f t="shared" si="179"/>
        <v>0.31</v>
      </c>
      <c r="N85" s="158">
        <f t="shared" si="180"/>
        <v>0.43</v>
      </c>
      <c r="O85" s="158">
        <f t="shared" si="181"/>
        <v>0.8</v>
      </c>
      <c r="P85" s="158">
        <v>0.28000000000000003</v>
      </c>
      <c r="Q85" s="158">
        <f>AU85</f>
        <v>0.23</v>
      </c>
      <c r="R85" s="158">
        <v>0.25</v>
      </c>
      <c r="S85" s="158">
        <f t="shared" si="182"/>
        <v>0.19</v>
      </c>
      <c r="T85" s="158">
        <f t="shared" si="183"/>
        <v>0.43</v>
      </c>
      <c r="U85" s="160">
        <f t="shared" si="183"/>
        <v>0.37</v>
      </c>
      <c r="V85" s="158">
        <v>0.26</v>
      </c>
      <c r="W85" s="158">
        <f t="shared" si="184"/>
        <v>0.34</v>
      </c>
      <c r="X85" s="158">
        <v>0.24</v>
      </c>
      <c r="Y85" s="158">
        <v>0.32</v>
      </c>
      <c r="Z85" s="158">
        <f t="shared" si="185"/>
        <v>0.56999999999999995</v>
      </c>
      <c r="AA85" s="158">
        <v>0.23</v>
      </c>
      <c r="AB85" s="160">
        <f t="shared" si="186"/>
        <v>0.25</v>
      </c>
      <c r="AC85" s="158">
        <f t="shared" si="187"/>
        <v>0.48</v>
      </c>
      <c r="AD85" s="158">
        <f t="shared" si="188"/>
        <v>0.27</v>
      </c>
      <c r="AE85" s="158">
        <v>0.26</v>
      </c>
      <c r="AF85" s="158">
        <f t="shared" si="189"/>
        <v>0.23</v>
      </c>
      <c r="AG85" s="158">
        <f t="shared" si="190"/>
        <v>0.34</v>
      </c>
      <c r="AH85" s="158">
        <f t="shared" si="191"/>
        <v>0.79</v>
      </c>
      <c r="AI85" s="158">
        <f t="shared" si="192"/>
        <v>0.48</v>
      </c>
      <c r="AJ85" s="158">
        <f t="shared" si="193"/>
        <v>0.37</v>
      </c>
      <c r="AK85" s="160">
        <f t="shared" si="194"/>
        <v>0.56000000000000005</v>
      </c>
      <c r="AL85" s="158">
        <f t="shared" si="195"/>
        <v>0.55000000000000004</v>
      </c>
      <c r="AM85" s="158">
        <f t="shared" si="196"/>
        <v>1.02</v>
      </c>
      <c r="AN85" s="158">
        <f t="shared" si="197"/>
        <v>1.88</v>
      </c>
      <c r="AO85" s="158">
        <f t="shared" si="198"/>
        <v>0.34</v>
      </c>
      <c r="AP85" s="158">
        <f t="shared" si="198"/>
        <v>0.16</v>
      </c>
      <c r="AQ85" s="158">
        <f t="shared" si="199"/>
        <v>1.1299999999999999</v>
      </c>
      <c r="AR85" s="158">
        <f t="shared" si="200"/>
        <v>1.0900000000000001</v>
      </c>
      <c r="AS85" s="159">
        <v>0.5</v>
      </c>
      <c r="AT85" s="158">
        <v>0.24</v>
      </c>
      <c r="AU85" s="158">
        <v>0.23</v>
      </c>
      <c r="AV85" s="158">
        <v>0.19</v>
      </c>
      <c r="AW85" s="158">
        <v>0.43</v>
      </c>
      <c r="AX85" s="158">
        <v>0.25</v>
      </c>
      <c r="AY85" s="158">
        <v>0.22</v>
      </c>
      <c r="AZ85" s="158">
        <v>0.23</v>
      </c>
      <c r="BA85" s="158">
        <v>0.28000000000000003</v>
      </c>
      <c r="BB85" s="158">
        <v>0.43</v>
      </c>
      <c r="BC85" s="158">
        <v>0.37</v>
      </c>
      <c r="BD85" s="158">
        <v>0.31</v>
      </c>
      <c r="BE85" s="158">
        <v>0.8</v>
      </c>
      <c r="BF85" s="160">
        <v>1.69</v>
      </c>
      <c r="BG85" s="158">
        <v>0.25</v>
      </c>
      <c r="BH85" s="158">
        <v>0.62</v>
      </c>
      <c r="BI85" s="158">
        <v>0.24</v>
      </c>
      <c r="BJ85" s="158">
        <v>0.27</v>
      </c>
      <c r="BK85" s="158">
        <v>0.37</v>
      </c>
      <c r="BL85" s="158">
        <v>1.4</v>
      </c>
      <c r="BM85" s="158">
        <v>0.56999999999999995</v>
      </c>
      <c r="BN85" s="158">
        <v>0.32</v>
      </c>
      <c r="BO85" s="158">
        <v>0.24</v>
      </c>
      <c r="BP85" s="158">
        <v>0.25</v>
      </c>
      <c r="BQ85" s="158">
        <v>0.23</v>
      </c>
      <c r="BR85" s="160">
        <v>0.34</v>
      </c>
      <c r="BS85" s="158">
        <v>0.31</v>
      </c>
      <c r="BT85" s="158">
        <v>0.26</v>
      </c>
      <c r="BU85" s="158">
        <v>0.27</v>
      </c>
      <c r="BV85" s="158">
        <v>0.34</v>
      </c>
      <c r="BW85" s="158">
        <v>0.48</v>
      </c>
      <c r="BX85" s="158">
        <v>0.48</v>
      </c>
      <c r="BY85" s="158">
        <v>0.37</v>
      </c>
      <c r="BZ85" s="158">
        <v>0.79</v>
      </c>
      <c r="CA85" s="158">
        <v>0.23</v>
      </c>
      <c r="CB85" s="160">
        <v>0.56000000000000005</v>
      </c>
      <c r="CC85" s="158">
        <v>0.34</v>
      </c>
      <c r="CD85" s="158">
        <v>0.16</v>
      </c>
      <c r="CE85" s="158">
        <v>0.55000000000000004</v>
      </c>
      <c r="CF85" s="158">
        <v>0.46</v>
      </c>
      <c r="CG85" s="158">
        <v>0.51</v>
      </c>
      <c r="CH85" s="158">
        <v>1.02</v>
      </c>
      <c r="CI85" s="158">
        <v>1.0900000000000001</v>
      </c>
      <c r="CJ85" s="158">
        <v>1.88</v>
      </c>
      <c r="CK85" s="159">
        <v>1.1299999999999999</v>
      </c>
      <c r="CL85" s="161">
        <v>0.34</v>
      </c>
    </row>
    <row r="86" spans="1:90">
      <c r="A86" s="93">
        <f>ROWS($A$3:A84)</f>
        <v>82</v>
      </c>
      <c r="B86" s="67" t="s">
        <v>202</v>
      </c>
      <c r="C86" s="244">
        <v>2010</v>
      </c>
      <c r="D86" s="321"/>
      <c r="E86" s="320"/>
      <c r="F86" s="156"/>
      <c r="G86" s="177"/>
      <c r="H86" s="177"/>
      <c r="I86" s="178"/>
      <c r="J86" s="181"/>
      <c r="K86" s="156"/>
      <c r="L86" s="177"/>
      <c r="M86" s="177"/>
      <c r="N86" s="177"/>
      <c r="O86" s="177"/>
      <c r="P86" s="177"/>
      <c r="Q86" s="177"/>
      <c r="R86" s="177"/>
      <c r="S86" s="177"/>
      <c r="T86" s="177"/>
      <c r="U86" s="179"/>
      <c r="V86" s="177"/>
      <c r="W86" s="177"/>
      <c r="X86" s="177"/>
      <c r="Y86" s="177"/>
      <c r="Z86" s="177"/>
      <c r="AA86" s="177"/>
      <c r="AB86" s="179"/>
      <c r="AC86" s="177"/>
      <c r="AD86" s="177"/>
      <c r="AE86" s="177"/>
      <c r="AF86" s="177"/>
      <c r="AG86" s="177"/>
      <c r="AH86" s="177"/>
      <c r="AI86" s="177"/>
      <c r="AJ86" s="177"/>
      <c r="AK86" s="179"/>
      <c r="AL86" s="177"/>
      <c r="AM86" s="177"/>
      <c r="AN86" s="177"/>
      <c r="AO86" s="177"/>
      <c r="AP86" s="177"/>
      <c r="AQ86" s="177"/>
      <c r="AR86" s="177"/>
      <c r="AS86" s="178"/>
      <c r="AT86" s="177"/>
      <c r="AU86" s="177"/>
      <c r="AV86" s="177"/>
      <c r="AW86" s="177"/>
      <c r="AX86" s="177"/>
      <c r="AY86" s="177"/>
      <c r="AZ86" s="177"/>
      <c r="BA86" s="177"/>
      <c r="BB86" s="177"/>
      <c r="BC86" s="177"/>
      <c r="BD86" s="177"/>
      <c r="BE86" s="177"/>
      <c r="BF86" s="179"/>
      <c r="BG86" s="177"/>
      <c r="BH86" s="177"/>
      <c r="BI86" s="177"/>
      <c r="BJ86" s="177"/>
      <c r="BK86" s="177"/>
      <c r="BL86" s="177"/>
      <c r="BM86" s="177"/>
      <c r="BN86" s="177"/>
      <c r="BO86" s="177"/>
      <c r="BP86" s="177"/>
      <c r="BQ86" s="177"/>
      <c r="BR86" s="179"/>
      <c r="BS86" s="177"/>
      <c r="BT86" s="177"/>
      <c r="BU86" s="177"/>
      <c r="BV86" s="177"/>
      <c r="BW86" s="177"/>
      <c r="BX86" s="177"/>
      <c r="BY86" s="177"/>
      <c r="BZ86" s="177"/>
      <c r="CA86" s="177"/>
      <c r="CB86" s="179"/>
      <c r="CC86" s="177"/>
      <c r="CD86" s="177"/>
      <c r="CE86" s="177"/>
      <c r="CF86" s="177"/>
      <c r="CG86" s="177"/>
      <c r="CH86" s="177"/>
      <c r="CI86" s="177"/>
      <c r="CJ86" s="177"/>
      <c r="CK86" s="178"/>
      <c r="CL86" s="180"/>
    </row>
    <row r="87" spans="1:90">
      <c r="A87" s="93">
        <f>ROWS($A$3:A85)</f>
        <v>83</v>
      </c>
      <c r="B87" s="62" t="s">
        <v>200</v>
      </c>
      <c r="C87" s="330"/>
      <c r="D87" s="319" t="s">
        <v>201</v>
      </c>
      <c r="E87" s="322">
        <v>40652</v>
      </c>
      <c r="F87" s="191">
        <v>22061</v>
      </c>
      <c r="G87" s="191">
        <v>19776</v>
      </c>
      <c r="H87" s="191">
        <v>16478</v>
      </c>
      <c r="I87" s="192">
        <v>19015</v>
      </c>
      <c r="J87" s="347"/>
      <c r="K87" s="156">
        <f>BF87</f>
        <v>16760</v>
      </c>
      <c r="L87" s="177">
        <f>AY87</f>
        <v>27913</v>
      </c>
      <c r="M87" s="177">
        <f>BD87</f>
        <v>12456</v>
      </c>
      <c r="N87" s="177">
        <f>AW87</f>
        <v>23220</v>
      </c>
      <c r="O87" s="177">
        <f>BE87</f>
        <v>18454</v>
      </c>
      <c r="P87" s="183">
        <f>(AZ100*AZ87+BA100*BA87)/(AZ100+BA100)</f>
        <v>23575.906735751294</v>
      </c>
      <c r="Q87" s="177">
        <f>'2008'!AU87</f>
        <v>31866</v>
      </c>
      <c r="R87" s="183">
        <f>(AT100*AT87+AX100*AX87)/(AT100+AX100)</f>
        <v>37148.700729927004</v>
      </c>
      <c r="S87" s="177">
        <f>AV87</f>
        <v>39942</v>
      </c>
      <c r="T87" s="177">
        <f>BB87</f>
        <v>20865</v>
      </c>
      <c r="U87" s="179">
        <f>BC87</f>
        <v>18138</v>
      </c>
      <c r="V87" s="183">
        <f>(BG100*BG87+BJ100*BJ87)/(BG100+BJ100)</f>
        <v>24308.57894736842</v>
      </c>
      <c r="W87" s="177">
        <f>BR87</f>
        <v>12760</v>
      </c>
      <c r="X87" s="183">
        <f>(BH100*BH87+BI100*BI87)/(BH100+BI100)</f>
        <v>25116.597938144329</v>
      </c>
      <c r="Y87" s="183">
        <f>(BK100*BK87+BL100*BL87+BN100*BN87)/(BK100+BL100+BN100)</f>
        <v>51924.457142857143</v>
      </c>
      <c r="Z87" s="177">
        <f>BM87</f>
        <v>10503</v>
      </c>
      <c r="AA87" s="183">
        <f>(BO100*BO87+BQ100*BQ87)/(BO100+BQ100)</f>
        <v>23103.448275862069</v>
      </c>
      <c r="AB87" s="179">
        <f>BP87</f>
        <v>15089</v>
      </c>
      <c r="AC87" s="177">
        <f>BX87</f>
        <v>12836</v>
      </c>
      <c r="AD87" s="177">
        <f>BU87</f>
        <v>24270</v>
      </c>
      <c r="AE87" s="183">
        <f>(BS100*BS87+BT100*BT87)/(BS100+BT100)</f>
        <v>22458.105263157893</v>
      </c>
      <c r="AF87" s="177">
        <f>CA87</f>
        <v>15602</v>
      </c>
      <c r="AG87" s="177">
        <f>BV87</f>
        <v>19245</v>
      </c>
      <c r="AH87" s="177">
        <f>BZ87</f>
        <v>13697</v>
      </c>
      <c r="AI87" s="177">
        <f>BW87</f>
        <v>11390</v>
      </c>
      <c r="AJ87" s="177">
        <f>BY87</f>
        <v>8671</v>
      </c>
      <c r="AK87" s="179">
        <f>CB87</f>
        <v>12821</v>
      </c>
      <c r="AL87" s="177">
        <f>CE87</f>
        <v>11626</v>
      </c>
      <c r="AM87" s="177">
        <f>CH87</f>
        <v>20346</v>
      </c>
      <c r="AN87" s="177">
        <f>CJ87</f>
        <v>18348</v>
      </c>
      <c r="AO87" s="177">
        <f>CC87</f>
        <v>12939</v>
      </c>
      <c r="AP87" s="177">
        <f>CD87</f>
        <v>24711</v>
      </c>
      <c r="AQ87" s="177">
        <f>CK87</f>
        <v>13546</v>
      </c>
      <c r="AR87" s="177">
        <f>CI87</f>
        <v>24200</v>
      </c>
      <c r="AS87" s="184">
        <f>(CF100*CF87+CG100*CG87)/(CF100+CG100)</f>
        <v>25587.030888030888</v>
      </c>
      <c r="AT87" s="177">
        <v>97817</v>
      </c>
      <c r="AU87" s="191">
        <v>36761</v>
      </c>
      <c r="AV87" s="191">
        <v>39942</v>
      </c>
      <c r="AW87" s="191">
        <v>23220</v>
      </c>
      <c r="AX87" s="191">
        <v>34370</v>
      </c>
      <c r="AY87" s="191">
        <v>27913</v>
      </c>
      <c r="AZ87" s="191">
        <v>41030</v>
      </c>
      <c r="BA87" s="191">
        <v>21670</v>
      </c>
      <c r="BB87" s="191">
        <v>20865</v>
      </c>
      <c r="BC87" s="191">
        <v>18138</v>
      </c>
      <c r="BD87" s="191">
        <v>12456</v>
      </c>
      <c r="BE87" s="191">
        <v>18454</v>
      </c>
      <c r="BF87" s="193">
        <v>16760</v>
      </c>
      <c r="BG87" s="191">
        <v>14093</v>
      </c>
      <c r="BH87" s="191">
        <v>37685</v>
      </c>
      <c r="BI87" s="191">
        <v>24852</v>
      </c>
      <c r="BJ87" s="191">
        <v>26224</v>
      </c>
      <c r="BK87" s="191">
        <v>119670</v>
      </c>
      <c r="BL87" s="191">
        <v>0</v>
      </c>
      <c r="BM87" s="191">
        <v>10503</v>
      </c>
      <c r="BN87" s="191">
        <v>39262</v>
      </c>
      <c r="BO87" s="191">
        <v>65816</v>
      </c>
      <c r="BP87" s="191">
        <v>15089</v>
      </c>
      <c r="BQ87" s="191">
        <v>21578</v>
      </c>
      <c r="BR87" s="193">
        <v>12760</v>
      </c>
      <c r="BS87" s="191">
        <v>28718</v>
      </c>
      <c r="BT87" s="191">
        <v>21803</v>
      </c>
      <c r="BU87" s="191">
        <v>24270</v>
      </c>
      <c r="BV87" s="191">
        <v>19245</v>
      </c>
      <c r="BW87" s="191">
        <v>11390</v>
      </c>
      <c r="BX87" s="191">
        <v>12836</v>
      </c>
      <c r="BY87" s="191">
        <v>8671</v>
      </c>
      <c r="BZ87" s="191">
        <v>13697</v>
      </c>
      <c r="CA87" s="191">
        <v>15602</v>
      </c>
      <c r="CB87" s="193">
        <v>12821</v>
      </c>
      <c r="CC87" s="191">
        <v>12939</v>
      </c>
      <c r="CD87" s="191">
        <v>24711</v>
      </c>
      <c r="CE87" s="191">
        <v>11626</v>
      </c>
      <c r="CF87" s="191">
        <v>48178</v>
      </c>
      <c r="CG87" s="191">
        <v>24867</v>
      </c>
      <c r="CH87" s="191">
        <v>20346</v>
      </c>
      <c r="CI87" s="191">
        <v>24200</v>
      </c>
      <c r="CJ87" s="191">
        <v>18348</v>
      </c>
      <c r="CK87" s="191">
        <v>13546</v>
      </c>
      <c r="CL87" s="180">
        <v>19823</v>
      </c>
    </row>
    <row r="88" spans="1:90">
      <c r="A88" s="93">
        <f>ROWS($A$3:A86)</f>
        <v>84</v>
      </c>
      <c r="B88" s="67" t="s">
        <v>203</v>
      </c>
      <c r="C88" s="244">
        <v>2010</v>
      </c>
      <c r="D88" s="321"/>
      <c r="E88" s="344"/>
      <c r="F88" s="156"/>
      <c r="G88" s="177"/>
      <c r="H88" s="177"/>
      <c r="I88" s="178"/>
      <c r="J88" s="181"/>
      <c r="K88" s="156"/>
      <c r="L88" s="177"/>
      <c r="M88" s="177"/>
      <c r="N88" s="177"/>
      <c r="O88" s="177"/>
      <c r="P88" s="177"/>
      <c r="Q88" s="177"/>
      <c r="R88" s="177"/>
      <c r="S88" s="177"/>
      <c r="T88" s="177"/>
      <c r="U88" s="179"/>
      <c r="V88" s="177"/>
      <c r="W88" s="177"/>
      <c r="X88" s="177"/>
      <c r="Y88" s="177"/>
      <c r="Z88" s="177"/>
      <c r="AA88" s="177"/>
      <c r="AB88" s="179"/>
      <c r="AC88" s="177"/>
      <c r="AD88" s="177"/>
      <c r="AE88" s="177"/>
      <c r="AF88" s="177"/>
      <c r="AG88" s="177"/>
      <c r="AH88" s="177"/>
      <c r="AI88" s="177"/>
      <c r="AJ88" s="177"/>
      <c r="AK88" s="179"/>
      <c r="AL88" s="177"/>
      <c r="AM88" s="177"/>
      <c r="AN88" s="177"/>
      <c r="AO88" s="177"/>
      <c r="AP88" s="177"/>
      <c r="AQ88" s="177"/>
      <c r="AR88" s="177"/>
      <c r="AS88" s="178"/>
      <c r="AT88" s="177"/>
      <c r="AU88" s="177"/>
      <c r="AV88" s="177"/>
      <c r="AW88" s="177"/>
      <c r="AX88" s="177"/>
      <c r="AY88" s="177"/>
      <c r="AZ88" s="177"/>
      <c r="BA88" s="177"/>
      <c r="BB88" s="177"/>
      <c r="BC88" s="177"/>
      <c r="BD88" s="177"/>
      <c r="BE88" s="177"/>
      <c r="BF88" s="179"/>
      <c r="BG88" s="177"/>
      <c r="BH88" s="177"/>
      <c r="BI88" s="177"/>
      <c r="BJ88" s="177"/>
      <c r="BK88" s="177"/>
      <c r="BL88" s="177"/>
      <c r="BM88" s="177"/>
      <c r="BN88" s="177"/>
      <c r="BO88" s="177"/>
      <c r="BP88" s="177"/>
      <c r="BQ88" s="177"/>
      <c r="BR88" s="179"/>
      <c r="BS88" s="177"/>
      <c r="BT88" s="177"/>
      <c r="BU88" s="177"/>
      <c r="BV88" s="177"/>
      <c r="BW88" s="177"/>
      <c r="BX88" s="177"/>
      <c r="BY88" s="177"/>
      <c r="BZ88" s="177"/>
      <c r="CA88" s="177"/>
      <c r="CB88" s="179"/>
      <c r="CC88" s="177"/>
      <c r="CD88" s="177"/>
      <c r="CE88" s="177"/>
      <c r="CF88" s="177"/>
      <c r="CG88" s="177"/>
      <c r="CH88" s="177"/>
      <c r="CI88" s="177"/>
      <c r="CJ88" s="177"/>
      <c r="CK88" s="178"/>
      <c r="CL88" s="180"/>
    </row>
    <row r="89" spans="1:90">
      <c r="A89" s="93">
        <f>ROWS($A$3:A87)</f>
        <v>85</v>
      </c>
      <c r="B89" s="106" t="s">
        <v>204</v>
      </c>
      <c r="C89" s="245"/>
      <c r="D89" s="319" t="s">
        <v>205</v>
      </c>
      <c r="E89" s="322">
        <v>40648</v>
      </c>
      <c r="F89" s="210">
        <v>65.3</v>
      </c>
      <c r="G89" s="213">
        <v>61.9</v>
      </c>
      <c r="H89" s="213">
        <v>62.6</v>
      </c>
      <c r="I89" s="214">
        <v>63.5</v>
      </c>
      <c r="J89" s="213"/>
      <c r="K89" s="210">
        <f>BF89</f>
        <v>60.9</v>
      </c>
      <c r="L89" s="211">
        <f>AY89</f>
        <v>59.6</v>
      </c>
      <c r="M89" s="211">
        <f>BD89</f>
        <v>62.4</v>
      </c>
      <c r="N89" s="211">
        <f>AW89</f>
        <v>62.6</v>
      </c>
      <c r="O89" s="211">
        <f>BE89</f>
        <v>59.6</v>
      </c>
      <c r="P89" s="211">
        <f>'2011'!BA89</f>
        <v>70.400000000000006</v>
      </c>
      <c r="Q89" s="211">
        <f>'2011'!AU89</f>
        <v>67.2</v>
      </c>
      <c r="R89" s="211">
        <f>AX89</f>
        <v>70.3</v>
      </c>
      <c r="S89" s="211">
        <f>AV89</f>
        <v>63.7</v>
      </c>
      <c r="T89" s="211">
        <f t="shared" ref="T89:U93" si="204">BB89</f>
        <v>65.7</v>
      </c>
      <c r="U89" s="212">
        <f t="shared" si="204"/>
        <v>68.3</v>
      </c>
      <c r="V89" s="211">
        <f>BJ89</f>
        <v>60.8</v>
      </c>
      <c r="W89" s="211">
        <f>BR89</f>
        <v>62.9</v>
      </c>
      <c r="X89" s="211">
        <f>BI89</f>
        <v>60.9</v>
      </c>
      <c r="Y89" s="211">
        <f>BN89</f>
        <v>66.7</v>
      </c>
      <c r="Z89" s="211">
        <f>BM89</f>
        <v>59.4</v>
      </c>
      <c r="AA89" s="211">
        <f>BQ89</f>
        <v>61.8</v>
      </c>
      <c r="AB89" s="212">
        <f>BP89</f>
        <v>59.1</v>
      </c>
      <c r="AC89" s="211">
        <f>BX89</f>
        <v>70</v>
      </c>
      <c r="AD89" s="211">
        <f>BU89</f>
        <v>54</v>
      </c>
      <c r="AE89" s="211">
        <f>BT89</f>
        <v>59.8</v>
      </c>
      <c r="AF89" s="211">
        <f>CA89</f>
        <v>60.7</v>
      </c>
      <c r="AG89" s="211">
        <f>BV89</f>
        <v>66.599999999999994</v>
      </c>
      <c r="AH89" s="211">
        <f>BZ89</f>
        <v>62.7</v>
      </c>
      <c r="AI89" s="211">
        <f>BW89</f>
        <v>63</v>
      </c>
      <c r="AJ89" s="211">
        <f>BY89</f>
        <v>56.9</v>
      </c>
      <c r="AK89" s="212">
        <f>CB89</f>
        <v>58.1</v>
      </c>
      <c r="AL89" s="211">
        <f>CE89</f>
        <v>57.4</v>
      </c>
      <c r="AM89" s="211">
        <f>CH89</f>
        <v>67.2</v>
      </c>
      <c r="AN89" s="211">
        <f>CJ89</f>
        <v>64.3</v>
      </c>
      <c r="AO89" s="211">
        <f t="shared" ref="AO89:AP93" si="205">CC89</f>
        <v>56.9</v>
      </c>
      <c r="AP89" s="211">
        <f t="shared" si="205"/>
        <v>60.2</v>
      </c>
      <c r="AQ89" s="211">
        <f>CK89</f>
        <v>62.1</v>
      </c>
      <c r="AR89" s="211">
        <f>CI89</f>
        <v>64.599999999999994</v>
      </c>
      <c r="AS89" s="214">
        <f>CG89</f>
        <v>64.7</v>
      </c>
      <c r="AT89" s="211" t="s">
        <v>61</v>
      </c>
      <c r="AU89" s="213">
        <v>67.2</v>
      </c>
      <c r="AV89" s="213">
        <v>63.7</v>
      </c>
      <c r="AW89" s="213">
        <v>62.6</v>
      </c>
      <c r="AX89" s="213">
        <v>70.3</v>
      </c>
      <c r="AY89" s="213">
        <v>59.6</v>
      </c>
      <c r="AZ89" s="211" t="s">
        <v>61</v>
      </c>
      <c r="BA89" s="213">
        <v>70.400000000000006</v>
      </c>
      <c r="BB89" s="213">
        <v>65.7</v>
      </c>
      <c r="BC89" s="213">
        <v>68.3</v>
      </c>
      <c r="BD89" s="213">
        <v>62.4</v>
      </c>
      <c r="BE89" s="213">
        <v>59.6</v>
      </c>
      <c r="BF89" s="212">
        <v>60.9</v>
      </c>
      <c r="BG89" s="211" t="s">
        <v>61</v>
      </c>
      <c r="BH89" s="211" t="s">
        <v>61</v>
      </c>
      <c r="BI89" s="213">
        <v>60.9</v>
      </c>
      <c r="BJ89" s="213">
        <v>60.8</v>
      </c>
      <c r="BK89" s="211" t="s">
        <v>61</v>
      </c>
      <c r="BL89" s="213" t="s">
        <v>61</v>
      </c>
      <c r="BM89" s="213">
        <v>59.4</v>
      </c>
      <c r="BN89" s="213">
        <v>66.7</v>
      </c>
      <c r="BO89" s="211" t="s">
        <v>61</v>
      </c>
      <c r="BP89" s="213">
        <v>59.1</v>
      </c>
      <c r="BQ89" s="213">
        <v>61.8</v>
      </c>
      <c r="BR89" s="212">
        <v>62.9</v>
      </c>
      <c r="BS89" s="211" t="s">
        <v>61</v>
      </c>
      <c r="BT89" s="213">
        <v>59.8</v>
      </c>
      <c r="BU89" s="213">
        <v>54</v>
      </c>
      <c r="BV89" s="213">
        <v>66.599999999999994</v>
      </c>
      <c r="BW89" s="213">
        <v>63</v>
      </c>
      <c r="BX89" s="213">
        <v>70</v>
      </c>
      <c r="BY89" s="213">
        <v>56.9</v>
      </c>
      <c r="BZ89" s="213">
        <v>62.7</v>
      </c>
      <c r="CA89" s="213">
        <v>60.7</v>
      </c>
      <c r="CB89" s="212">
        <v>58.1</v>
      </c>
      <c r="CC89" s="213">
        <v>56.9</v>
      </c>
      <c r="CD89" s="213">
        <v>60.2</v>
      </c>
      <c r="CE89" s="213">
        <v>57.4</v>
      </c>
      <c r="CF89" s="211" t="s">
        <v>61</v>
      </c>
      <c r="CG89" s="213">
        <v>64.7</v>
      </c>
      <c r="CH89" s="213">
        <v>67.2</v>
      </c>
      <c r="CI89" s="213">
        <v>64.599999999999994</v>
      </c>
      <c r="CJ89" s="213">
        <v>64.3</v>
      </c>
      <c r="CK89" s="214">
        <v>62.1</v>
      </c>
      <c r="CL89" s="215">
        <v>63.9</v>
      </c>
    </row>
    <row r="90" spans="1:90">
      <c r="A90" s="93">
        <f>ROWS($A$3:A88)</f>
        <v>86</v>
      </c>
      <c r="B90" s="106" t="s">
        <v>206</v>
      </c>
      <c r="C90" s="243"/>
      <c r="D90" s="319" t="s">
        <v>205</v>
      </c>
      <c r="E90" s="322">
        <v>40648</v>
      </c>
      <c r="F90" s="210">
        <v>700.6</v>
      </c>
      <c r="G90" s="213">
        <v>648.29999999999995</v>
      </c>
      <c r="H90" s="213">
        <v>629.70000000000005</v>
      </c>
      <c r="I90" s="214">
        <v>701.5</v>
      </c>
      <c r="J90" s="213"/>
      <c r="K90" s="210" t="str">
        <f>BF90</f>
        <v>-</v>
      </c>
      <c r="L90" s="211">
        <f>AY90</f>
        <v>656.9</v>
      </c>
      <c r="M90" s="211">
        <f>BD90</f>
        <v>633.6</v>
      </c>
      <c r="N90" s="211" t="str">
        <f>AW90</f>
        <v>-</v>
      </c>
      <c r="O90" s="211" t="str">
        <f>BE90</f>
        <v>-</v>
      </c>
      <c r="P90" s="211">
        <f>'2011'!BA90</f>
        <v>723.3</v>
      </c>
      <c r="Q90" s="211">
        <f>'2011'!AU90</f>
        <v>745</v>
      </c>
      <c r="R90" s="211">
        <f>AX90</f>
        <v>701.7</v>
      </c>
      <c r="S90" s="211" t="str">
        <f>AV90</f>
        <v>-</v>
      </c>
      <c r="T90" s="211">
        <f t="shared" si="204"/>
        <v>658.3</v>
      </c>
      <c r="U90" s="212">
        <f t="shared" si="204"/>
        <v>616.6</v>
      </c>
      <c r="V90" s="211" t="str">
        <f>BJ90</f>
        <v>-</v>
      </c>
      <c r="W90" s="211" t="str">
        <f>BR90</f>
        <v>-</v>
      </c>
      <c r="X90" s="211">
        <f>BI90</f>
        <v>622.79999999999995</v>
      </c>
      <c r="Y90" s="211">
        <f>BN90</f>
        <v>664.5</v>
      </c>
      <c r="Z90" s="211">
        <f>BM90</f>
        <v>655.29999999999995</v>
      </c>
      <c r="AA90" s="211" t="str">
        <f>BQ90</f>
        <v>-</v>
      </c>
      <c r="AB90" s="212" t="str">
        <f>BP90</f>
        <v>-</v>
      </c>
      <c r="AC90" s="211" t="str">
        <f>BX90</f>
        <v>-</v>
      </c>
      <c r="AD90" s="211" t="str">
        <f>BU90</f>
        <v>-</v>
      </c>
      <c r="AE90" s="211" t="str">
        <f>BT90</f>
        <v>-</v>
      </c>
      <c r="AF90" s="211" t="str">
        <f>CA90</f>
        <v>-</v>
      </c>
      <c r="AG90" s="211" t="str">
        <f>BV90</f>
        <v>-</v>
      </c>
      <c r="AH90" s="211" t="str">
        <f>BZ90</f>
        <v>-</v>
      </c>
      <c r="AI90" s="211" t="str">
        <f>BW90</f>
        <v>-</v>
      </c>
      <c r="AJ90" s="211" t="str">
        <f>BY90</f>
        <v>-</v>
      </c>
      <c r="AK90" s="212" t="str">
        <f>CB90</f>
        <v>-</v>
      </c>
      <c r="AL90" s="211" t="str">
        <f>CE90</f>
        <v>-</v>
      </c>
      <c r="AM90" s="211">
        <f>CH90</f>
        <v>729.1</v>
      </c>
      <c r="AN90" s="211" t="str">
        <f>CJ90</f>
        <v>-</v>
      </c>
      <c r="AO90" s="211" t="str">
        <f t="shared" si="205"/>
        <v>-</v>
      </c>
      <c r="AP90" s="211" t="str">
        <f t="shared" si="205"/>
        <v>-</v>
      </c>
      <c r="AQ90" s="211" t="str">
        <f>CK90</f>
        <v>-</v>
      </c>
      <c r="AR90" s="211" t="str">
        <f>CI90</f>
        <v>-</v>
      </c>
      <c r="AS90" s="214">
        <f>CG90</f>
        <v>710.6</v>
      </c>
      <c r="AT90" s="211" t="s">
        <v>61</v>
      </c>
      <c r="AU90" s="213">
        <v>745</v>
      </c>
      <c r="AV90" s="211" t="s">
        <v>61</v>
      </c>
      <c r="AW90" s="213" t="s">
        <v>61</v>
      </c>
      <c r="AX90" s="213">
        <v>701.7</v>
      </c>
      <c r="AY90" s="213">
        <v>656.9</v>
      </c>
      <c r="AZ90" s="211" t="s">
        <v>61</v>
      </c>
      <c r="BA90" s="213">
        <v>723.3</v>
      </c>
      <c r="BB90" s="213">
        <v>658.3</v>
      </c>
      <c r="BC90" s="213">
        <v>616.6</v>
      </c>
      <c r="BD90" s="213">
        <v>633.6</v>
      </c>
      <c r="BE90" s="211" t="s">
        <v>61</v>
      </c>
      <c r="BF90" s="212" t="s">
        <v>61</v>
      </c>
      <c r="BG90" s="211" t="s">
        <v>61</v>
      </c>
      <c r="BH90" s="211" t="s">
        <v>61</v>
      </c>
      <c r="BI90" s="213">
        <v>622.79999999999995</v>
      </c>
      <c r="BJ90" s="213" t="s">
        <v>61</v>
      </c>
      <c r="BK90" s="211" t="s">
        <v>61</v>
      </c>
      <c r="BL90" s="213" t="s">
        <v>61</v>
      </c>
      <c r="BM90" s="213">
        <v>655.29999999999995</v>
      </c>
      <c r="BN90" s="213">
        <v>664.5</v>
      </c>
      <c r="BO90" s="211" t="s">
        <v>61</v>
      </c>
      <c r="BP90" s="211" t="s">
        <v>61</v>
      </c>
      <c r="BQ90" s="211" t="s">
        <v>61</v>
      </c>
      <c r="BR90" s="212" t="s">
        <v>61</v>
      </c>
      <c r="BS90" s="211" t="s">
        <v>61</v>
      </c>
      <c r="BT90" s="213" t="s">
        <v>61</v>
      </c>
      <c r="BU90" s="213" t="s">
        <v>61</v>
      </c>
      <c r="BV90" s="213" t="s">
        <v>61</v>
      </c>
      <c r="BW90" s="213" t="s">
        <v>61</v>
      </c>
      <c r="BX90" s="213" t="s">
        <v>61</v>
      </c>
      <c r="BY90" s="213" t="s">
        <v>61</v>
      </c>
      <c r="BZ90" s="213" t="s">
        <v>61</v>
      </c>
      <c r="CA90" s="213" t="s">
        <v>61</v>
      </c>
      <c r="CB90" s="212" t="s">
        <v>61</v>
      </c>
      <c r="CC90" s="213" t="s">
        <v>61</v>
      </c>
      <c r="CD90" s="213" t="s">
        <v>61</v>
      </c>
      <c r="CE90" s="213" t="s">
        <v>61</v>
      </c>
      <c r="CF90" s="211" t="s">
        <v>61</v>
      </c>
      <c r="CG90" s="213">
        <v>710.6</v>
      </c>
      <c r="CH90" s="213">
        <v>729.1</v>
      </c>
      <c r="CI90" s="211" t="s">
        <v>61</v>
      </c>
      <c r="CJ90" s="213" t="s">
        <v>61</v>
      </c>
      <c r="CK90" s="214" t="s">
        <v>61</v>
      </c>
      <c r="CL90" s="229">
        <v>689.9</v>
      </c>
    </row>
    <row r="91" spans="1:90">
      <c r="A91" s="93">
        <f>ROWS($A$3:A89)</f>
        <v>87</v>
      </c>
      <c r="B91" s="106" t="s">
        <v>207</v>
      </c>
      <c r="C91" s="243"/>
      <c r="D91" s="319" t="s">
        <v>205</v>
      </c>
      <c r="E91" s="322">
        <v>40648</v>
      </c>
      <c r="F91" s="210">
        <v>38.5</v>
      </c>
      <c r="G91" s="211">
        <v>40</v>
      </c>
      <c r="H91" s="211">
        <v>40.799999999999997</v>
      </c>
      <c r="I91" s="214">
        <v>37.6</v>
      </c>
      <c r="J91" s="213"/>
      <c r="K91" s="210">
        <f>BF91</f>
        <v>34.9</v>
      </c>
      <c r="L91" s="211">
        <f>AY91</f>
        <v>38.4</v>
      </c>
      <c r="M91" s="211">
        <f>BD91</f>
        <v>36.6</v>
      </c>
      <c r="N91" s="211">
        <f>AW91</f>
        <v>39.299999999999997</v>
      </c>
      <c r="O91" s="211">
        <f>BE91</f>
        <v>35.799999999999997</v>
      </c>
      <c r="P91" s="211">
        <f>'2011'!BA91</f>
        <v>43</v>
      </c>
      <c r="Q91" s="211">
        <f>'2011'!AU91</f>
        <v>39.6</v>
      </c>
      <c r="R91" s="211">
        <f>AX91</f>
        <v>41.4</v>
      </c>
      <c r="S91" s="211">
        <f>AV91</f>
        <v>42.1</v>
      </c>
      <c r="T91" s="211">
        <f t="shared" si="204"/>
        <v>38.299999999999997</v>
      </c>
      <c r="U91" s="212">
        <f t="shared" si="204"/>
        <v>40.4</v>
      </c>
      <c r="V91" s="211">
        <f>BJ91</f>
        <v>44.1</v>
      </c>
      <c r="W91" s="211">
        <f>BR91</f>
        <v>39.700000000000003</v>
      </c>
      <c r="X91" s="211">
        <f>BI91</f>
        <v>44.1</v>
      </c>
      <c r="Y91" s="211">
        <f>BN91</f>
        <v>41.8</v>
      </c>
      <c r="Z91" s="211">
        <f>BM91</f>
        <v>37.799999999999997</v>
      </c>
      <c r="AA91" s="211">
        <f>BQ91</f>
        <v>37.700000000000003</v>
      </c>
      <c r="AB91" s="212">
        <f>BP91</f>
        <v>41.2</v>
      </c>
      <c r="AC91" s="211" t="str">
        <f>BX91</f>
        <v>-</v>
      </c>
      <c r="AD91" s="211" t="str">
        <f>BU91</f>
        <v>-</v>
      </c>
      <c r="AE91" s="211">
        <f>BT91</f>
        <v>40.200000000000003</v>
      </c>
      <c r="AF91" s="211" t="str">
        <f>CA91</f>
        <v>-</v>
      </c>
      <c r="AG91" s="211">
        <f>BV91</f>
        <v>40.299999999999997</v>
      </c>
      <c r="AH91" s="211">
        <f>BZ91</f>
        <v>29.7</v>
      </c>
      <c r="AI91" s="211">
        <f>BW91</f>
        <v>38.5</v>
      </c>
      <c r="AJ91" s="211">
        <f>BY91</f>
        <v>41.9</v>
      </c>
      <c r="AK91" s="212">
        <f>CB91</f>
        <v>36</v>
      </c>
      <c r="AL91" s="211">
        <f>CE91</f>
        <v>38.200000000000003</v>
      </c>
      <c r="AM91" s="211">
        <f>CH91</f>
        <v>36.5</v>
      </c>
      <c r="AN91" s="211">
        <f>CJ91</f>
        <v>37.6</v>
      </c>
      <c r="AO91" s="211">
        <f t="shared" si="205"/>
        <v>36.5</v>
      </c>
      <c r="AP91" s="211">
        <f t="shared" si="205"/>
        <v>39.799999999999997</v>
      </c>
      <c r="AQ91" s="211">
        <f>CK91</f>
        <v>38.200000000000003</v>
      </c>
      <c r="AR91" s="211">
        <f>CI91</f>
        <v>38</v>
      </c>
      <c r="AS91" s="214">
        <f>CG91</f>
        <v>37.6</v>
      </c>
      <c r="AT91" s="211" t="s">
        <v>61</v>
      </c>
      <c r="AU91" s="211">
        <v>39.6</v>
      </c>
      <c r="AV91" s="211">
        <v>42.1</v>
      </c>
      <c r="AW91" s="213">
        <v>39.299999999999997</v>
      </c>
      <c r="AX91" s="211">
        <v>41.4</v>
      </c>
      <c r="AY91" s="213">
        <v>38.4</v>
      </c>
      <c r="AZ91" s="211" t="s">
        <v>61</v>
      </c>
      <c r="BA91" s="213">
        <v>43</v>
      </c>
      <c r="BB91" s="213">
        <v>38.299999999999997</v>
      </c>
      <c r="BC91" s="213">
        <v>40.4</v>
      </c>
      <c r="BD91" s="213">
        <v>36.6</v>
      </c>
      <c r="BE91" s="213">
        <v>35.799999999999997</v>
      </c>
      <c r="BF91" s="212">
        <v>34.9</v>
      </c>
      <c r="BG91" s="211" t="s">
        <v>61</v>
      </c>
      <c r="BH91" s="211" t="s">
        <v>61</v>
      </c>
      <c r="BI91" s="213">
        <v>44.1</v>
      </c>
      <c r="BJ91" s="213">
        <v>44.1</v>
      </c>
      <c r="BK91" s="211" t="s">
        <v>61</v>
      </c>
      <c r="BL91" s="213" t="s">
        <v>61</v>
      </c>
      <c r="BM91" s="211">
        <v>37.799999999999997</v>
      </c>
      <c r="BN91" s="211">
        <v>41.8</v>
      </c>
      <c r="BO91" s="211" t="s">
        <v>61</v>
      </c>
      <c r="BP91" s="213">
        <v>41.2</v>
      </c>
      <c r="BQ91" s="211">
        <v>37.700000000000003</v>
      </c>
      <c r="BR91" s="212">
        <v>39.700000000000003</v>
      </c>
      <c r="BS91" s="211" t="s">
        <v>61</v>
      </c>
      <c r="BT91" s="213">
        <v>40.200000000000003</v>
      </c>
      <c r="BU91" s="211" t="s">
        <v>61</v>
      </c>
      <c r="BV91" s="213">
        <v>40.299999999999997</v>
      </c>
      <c r="BW91" s="213">
        <v>38.5</v>
      </c>
      <c r="BX91" s="213" t="s">
        <v>61</v>
      </c>
      <c r="BY91" s="213">
        <v>41.9</v>
      </c>
      <c r="BZ91" s="213">
        <v>29.7</v>
      </c>
      <c r="CA91" s="211" t="s">
        <v>61</v>
      </c>
      <c r="CB91" s="212">
        <v>36</v>
      </c>
      <c r="CC91" s="213">
        <v>36.5</v>
      </c>
      <c r="CD91" s="213">
        <v>39.799999999999997</v>
      </c>
      <c r="CE91" s="213">
        <v>38.200000000000003</v>
      </c>
      <c r="CF91" s="211" t="s">
        <v>61</v>
      </c>
      <c r="CG91" s="213">
        <v>37.6</v>
      </c>
      <c r="CH91" s="213">
        <v>36.5</v>
      </c>
      <c r="CI91" s="213">
        <v>38</v>
      </c>
      <c r="CJ91" s="213">
        <v>37.6</v>
      </c>
      <c r="CK91" s="214">
        <v>38.200000000000003</v>
      </c>
      <c r="CL91" s="229">
        <v>38.799999999999997</v>
      </c>
    </row>
    <row r="92" spans="1:90">
      <c r="A92" s="93">
        <f>ROWS($A$3:A90)</f>
        <v>88</v>
      </c>
      <c r="B92" s="106" t="s">
        <v>208</v>
      </c>
      <c r="C92" s="243"/>
      <c r="D92" s="319" t="s">
        <v>205</v>
      </c>
      <c r="E92" s="322">
        <v>40648</v>
      </c>
      <c r="F92" s="210">
        <v>452</v>
      </c>
      <c r="G92" s="213">
        <v>435.2</v>
      </c>
      <c r="H92" s="213">
        <v>450.5</v>
      </c>
      <c r="I92" s="214">
        <v>426.3</v>
      </c>
      <c r="J92" s="213"/>
      <c r="K92" s="210">
        <f>BF92</f>
        <v>453.2</v>
      </c>
      <c r="L92" s="211">
        <f>AY92</f>
        <v>424.1</v>
      </c>
      <c r="M92" s="211">
        <f>BD92</f>
        <v>418.3</v>
      </c>
      <c r="N92" s="211">
        <f>AW92</f>
        <v>450.8</v>
      </c>
      <c r="O92" s="211">
        <f>BE92</f>
        <v>479</v>
      </c>
      <c r="P92" s="211">
        <f>'2011'!BA92</f>
        <v>461.7</v>
      </c>
      <c r="Q92" s="211">
        <f>'2011'!AU92</f>
        <v>438.9</v>
      </c>
      <c r="R92" s="211">
        <f>AX92</f>
        <v>478.3</v>
      </c>
      <c r="S92" s="211">
        <f>AV92</f>
        <v>453.7</v>
      </c>
      <c r="T92" s="211">
        <f t="shared" si="204"/>
        <v>456.3</v>
      </c>
      <c r="U92" s="212">
        <f t="shared" si="204"/>
        <v>449.1</v>
      </c>
      <c r="V92" s="211">
        <f>BJ92</f>
        <v>404.6</v>
      </c>
      <c r="W92" s="211">
        <f>BR92</f>
        <v>526.1</v>
      </c>
      <c r="X92" s="211">
        <f>BI92</f>
        <v>446.1</v>
      </c>
      <c r="Y92" s="211">
        <f>BN92</f>
        <v>426.2</v>
      </c>
      <c r="Z92" s="211">
        <f>BM92</f>
        <v>401.9</v>
      </c>
      <c r="AA92" s="211">
        <f>BQ92</f>
        <v>438.9</v>
      </c>
      <c r="AB92" s="212">
        <f>BP92</f>
        <v>458.5</v>
      </c>
      <c r="AC92" s="211" t="str">
        <f>BX92</f>
        <v>-</v>
      </c>
      <c r="AD92" s="211" t="str">
        <f>BU92</f>
        <v>-</v>
      </c>
      <c r="AE92" s="211">
        <f>BT92</f>
        <v>432.8</v>
      </c>
      <c r="AF92" s="211">
        <f>CA92</f>
        <v>474</v>
      </c>
      <c r="AG92" s="211">
        <f>BV92</f>
        <v>482.1</v>
      </c>
      <c r="AH92" s="211">
        <f>BZ92</f>
        <v>462.8</v>
      </c>
      <c r="AI92" s="211">
        <f>BW92</f>
        <v>412.2</v>
      </c>
      <c r="AJ92" s="211">
        <f>BY92</f>
        <v>500.2</v>
      </c>
      <c r="AK92" s="212">
        <f>CB92</f>
        <v>434.6</v>
      </c>
      <c r="AL92" s="211">
        <f>CE92</f>
        <v>388.2</v>
      </c>
      <c r="AM92" s="211">
        <f>CH92</f>
        <v>406.1</v>
      </c>
      <c r="AN92" s="211">
        <f>CJ92</f>
        <v>415.8</v>
      </c>
      <c r="AO92" s="211">
        <f t="shared" si="205"/>
        <v>358.1</v>
      </c>
      <c r="AP92" s="211">
        <f t="shared" si="205"/>
        <v>429.5</v>
      </c>
      <c r="AQ92" s="211">
        <f>CK92</f>
        <v>440.7</v>
      </c>
      <c r="AR92" s="211">
        <f>CI92</f>
        <v>535.70000000000005</v>
      </c>
      <c r="AS92" s="214">
        <f>CG92</f>
        <v>458.1</v>
      </c>
      <c r="AT92" s="211" t="s">
        <v>61</v>
      </c>
      <c r="AU92" s="213">
        <v>438.9</v>
      </c>
      <c r="AV92" s="213">
        <v>453.7</v>
      </c>
      <c r="AW92" s="213">
        <v>450.8</v>
      </c>
      <c r="AX92" s="213">
        <v>478.3</v>
      </c>
      <c r="AY92" s="213">
        <v>424.1</v>
      </c>
      <c r="AZ92" s="211" t="s">
        <v>61</v>
      </c>
      <c r="BA92" s="213">
        <v>461.7</v>
      </c>
      <c r="BB92" s="213">
        <v>456.3</v>
      </c>
      <c r="BC92" s="213">
        <v>449.1</v>
      </c>
      <c r="BD92" s="213">
        <v>418.3</v>
      </c>
      <c r="BE92" s="213">
        <v>479</v>
      </c>
      <c r="BF92" s="212">
        <v>453.2</v>
      </c>
      <c r="BG92" s="211" t="s">
        <v>61</v>
      </c>
      <c r="BH92" s="211" t="s">
        <v>61</v>
      </c>
      <c r="BI92" s="213">
        <v>446.1</v>
      </c>
      <c r="BJ92" s="213">
        <v>404.6</v>
      </c>
      <c r="BK92" s="211" t="s">
        <v>61</v>
      </c>
      <c r="BL92" s="213" t="s">
        <v>61</v>
      </c>
      <c r="BM92" s="213">
        <v>401.9</v>
      </c>
      <c r="BN92" s="213">
        <v>426.2</v>
      </c>
      <c r="BO92" s="211" t="s">
        <v>61</v>
      </c>
      <c r="BP92" s="213">
        <v>458.5</v>
      </c>
      <c r="BQ92" s="213">
        <v>438.9</v>
      </c>
      <c r="BR92" s="212">
        <v>526.1</v>
      </c>
      <c r="BS92" s="211" t="s">
        <v>61</v>
      </c>
      <c r="BT92" s="213">
        <v>432.8</v>
      </c>
      <c r="BU92" s="211" t="s">
        <v>61</v>
      </c>
      <c r="BV92" s="213">
        <v>482.1</v>
      </c>
      <c r="BW92" s="213">
        <v>412.2</v>
      </c>
      <c r="BX92" s="213" t="s">
        <v>61</v>
      </c>
      <c r="BY92" s="213">
        <v>500.2</v>
      </c>
      <c r="BZ92" s="213">
        <v>462.8</v>
      </c>
      <c r="CA92" s="213">
        <v>474</v>
      </c>
      <c r="CB92" s="212">
        <v>434.6</v>
      </c>
      <c r="CC92" s="213">
        <v>358.1</v>
      </c>
      <c r="CD92" s="213">
        <v>429.5</v>
      </c>
      <c r="CE92" s="213">
        <v>388.2</v>
      </c>
      <c r="CF92" s="211" t="s">
        <v>61</v>
      </c>
      <c r="CG92" s="213">
        <v>458.1</v>
      </c>
      <c r="CH92" s="213">
        <v>406.1</v>
      </c>
      <c r="CI92" s="213">
        <v>535.70000000000005</v>
      </c>
      <c r="CJ92" s="213">
        <v>415.8</v>
      </c>
      <c r="CK92" s="214">
        <v>440.7</v>
      </c>
      <c r="CL92" s="229">
        <v>439.1</v>
      </c>
    </row>
    <row r="93" spans="1:90">
      <c r="A93" s="93">
        <f>ROWS($A$3:A91)</f>
        <v>89</v>
      </c>
      <c r="B93" s="62" t="s">
        <v>105</v>
      </c>
      <c r="C93" s="323"/>
      <c r="D93" s="321" t="s">
        <v>4</v>
      </c>
      <c r="E93" s="343"/>
      <c r="F93" s="157">
        <v>0.37</v>
      </c>
      <c r="G93" s="158">
        <v>0.37</v>
      </c>
      <c r="H93" s="158">
        <v>0.69</v>
      </c>
      <c r="I93" s="159">
        <v>0.54</v>
      </c>
      <c r="J93" s="162"/>
      <c r="K93" s="157">
        <f>BF93</f>
        <v>0.99</v>
      </c>
      <c r="L93" s="158">
        <f>AY93</f>
        <v>0.69</v>
      </c>
      <c r="M93" s="158">
        <f>BD93</f>
        <v>0.7</v>
      </c>
      <c r="N93" s="158">
        <f>AW93</f>
        <v>0.74</v>
      </c>
      <c r="O93" s="158">
        <f>BE93</f>
        <v>0.6</v>
      </c>
      <c r="P93" s="230">
        <f>(AZ35*AZ93+BA35*BA93)/P35</f>
        <v>0.12064121769375141</v>
      </c>
      <c r="Q93" s="158">
        <f>'2011'!AU93</f>
        <v>0.48</v>
      </c>
      <c r="R93" s="230">
        <f>(AT35*AT93+AX35*AX93)/R35</f>
        <v>1.7214353708137422E-2</v>
      </c>
      <c r="S93" s="158">
        <f>AV93</f>
        <v>0.56999999999999995</v>
      </c>
      <c r="T93" s="158">
        <f t="shared" si="204"/>
        <v>0.56999999999999995</v>
      </c>
      <c r="U93" s="160">
        <f t="shared" si="204"/>
        <v>0.97</v>
      </c>
      <c r="V93" s="230">
        <f>(BG35*BG93+BJ35*BJ93)/V35</f>
        <v>0.32098958008360889</v>
      </c>
      <c r="W93" s="158">
        <f>BR93</f>
        <v>0.82</v>
      </c>
      <c r="X93" s="230">
        <f>(BH35*BH93+BI35*BI93)/X35</f>
        <v>6.5584005612065954E-2</v>
      </c>
      <c r="Y93" s="230">
        <f>(BK35*BK93+BL35*BL93+BN35*BN93)/Y35</f>
        <v>0.10728694310691411</v>
      </c>
      <c r="Z93" s="158">
        <f>BM93</f>
        <v>0.7</v>
      </c>
      <c r="AA93" s="230">
        <f>(BO35*BO93+BQ35*BQ93)/AA35</f>
        <v>0.46039442349672549</v>
      </c>
      <c r="AB93" s="160">
        <f>BP93</f>
        <v>0.78</v>
      </c>
      <c r="AC93" s="158">
        <f>BX93</f>
        <v>0.65</v>
      </c>
      <c r="AD93" s="158">
        <f>BU93</f>
        <v>0.36</v>
      </c>
      <c r="AE93" s="230">
        <f>(BS35*BS93+BT35*BT93)/AE35</f>
        <v>0.1160348266339368</v>
      </c>
      <c r="AF93" s="158">
        <f>CA93</f>
        <v>0.28999999999999998</v>
      </c>
      <c r="AG93" s="158">
        <f>BV93</f>
        <v>0.34</v>
      </c>
      <c r="AH93" s="158">
        <f>BZ93</f>
        <v>0.65</v>
      </c>
      <c r="AI93" s="158">
        <f>BW93</f>
        <v>0.96</v>
      </c>
      <c r="AJ93" s="158">
        <f>BY93</f>
        <v>0.63</v>
      </c>
      <c r="AK93" s="160">
        <f>CB93</f>
        <v>0.71</v>
      </c>
      <c r="AL93" s="158">
        <f>CE93</f>
        <v>0.61</v>
      </c>
      <c r="AM93" s="158">
        <f>CH93</f>
        <v>0.2</v>
      </c>
      <c r="AN93" s="158">
        <f>CJ93</f>
        <v>0.57999999999999996</v>
      </c>
      <c r="AO93" s="158">
        <f t="shared" si="205"/>
        <v>1</v>
      </c>
      <c r="AP93" s="158">
        <f t="shared" si="205"/>
        <v>0.61</v>
      </c>
      <c r="AQ93" s="158">
        <f>CK93</f>
        <v>0.72</v>
      </c>
      <c r="AR93" s="158">
        <f>CI93</f>
        <v>0.24</v>
      </c>
      <c r="AS93" s="231">
        <f>(CF35*CF93+CG35*CG93)/AS35</f>
        <v>0.45045947078924298</v>
      </c>
      <c r="AT93" s="158">
        <v>0.11</v>
      </c>
      <c r="AU93" s="158">
        <v>0.48</v>
      </c>
      <c r="AV93" s="158">
        <v>0.56999999999999995</v>
      </c>
      <c r="AW93" s="158">
        <v>0.74</v>
      </c>
      <c r="AX93" s="158">
        <v>0.01</v>
      </c>
      <c r="AY93" s="158">
        <v>0.69</v>
      </c>
      <c r="AZ93" s="158">
        <v>0</v>
      </c>
      <c r="BA93" s="158">
        <v>0.13</v>
      </c>
      <c r="BB93" s="158">
        <v>0.56999999999999995</v>
      </c>
      <c r="BC93" s="158">
        <v>0.97</v>
      </c>
      <c r="BD93" s="158">
        <v>0.7</v>
      </c>
      <c r="BE93" s="158">
        <v>0.6</v>
      </c>
      <c r="BF93" s="160">
        <v>0.99</v>
      </c>
      <c r="BG93" s="158">
        <v>1</v>
      </c>
      <c r="BH93" s="158">
        <v>0</v>
      </c>
      <c r="BI93" s="158">
        <v>7.0000000000000007E-2</v>
      </c>
      <c r="BJ93" s="158">
        <v>0.25</v>
      </c>
      <c r="BK93" s="493">
        <v>0.01</v>
      </c>
      <c r="BL93" s="158">
        <v>0</v>
      </c>
      <c r="BM93" s="158">
        <v>0.7</v>
      </c>
      <c r="BN93" s="158">
        <v>0.12</v>
      </c>
      <c r="BO93" s="158">
        <v>0.28000000000000003</v>
      </c>
      <c r="BP93" s="158">
        <v>0.78</v>
      </c>
      <c r="BQ93" s="158">
        <v>0.47</v>
      </c>
      <c r="BR93" s="160">
        <v>0.82</v>
      </c>
      <c r="BS93" s="158">
        <v>0.06</v>
      </c>
      <c r="BT93" s="158">
        <v>0.12</v>
      </c>
      <c r="BU93" s="158">
        <v>0.36</v>
      </c>
      <c r="BV93" s="158">
        <v>0.34</v>
      </c>
      <c r="BW93" s="158">
        <v>0.96</v>
      </c>
      <c r="BX93" s="158">
        <v>0.65</v>
      </c>
      <c r="BY93" s="158">
        <v>0.63</v>
      </c>
      <c r="BZ93" s="158">
        <v>0.65</v>
      </c>
      <c r="CA93" s="158">
        <v>0.28999999999999998</v>
      </c>
      <c r="CB93" s="160">
        <v>0.71</v>
      </c>
      <c r="CC93" s="158">
        <v>1</v>
      </c>
      <c r="CD93" s="158">
        <v>0.61</v>
      </c>
      <c r="CE93" s="158">
        <v>0.61</v>
      </c>
      <c r="CF93" s="158">
        <v>0.3</v>
      </c>
      <c r="CG93" s="158">
        <v>0.46</v>
      </c>
      <c r="CH93" s="158">
        <v>0.2</v>
      </c>
      <c r="CI93" s="158">
        <v>0.24</v>
      </c>
      <c r="CJ93" s="158">
        <v>0.57999999999999996</v>
      </c>
      <c r="CK93" s="159">
        <v>0.72</v>
      </c>
      <c r="CL93" s="161">
        <v>0.54</v>
      </c>
    </row>
    <row r="94" spans="1:90">
      <c r="A94" s="93">
        <f>ROWS($A$3:A92)</f>
        <v>90</v>
      </c>
      <c r="B94" s="67" t="s">
        <v>266</v>
      </c>
      <c r="C94" s="241"/>
      <c r="D94" s="321"/>
      <c r="E94" s="343"/>
      <c r="F94" s="156"/>
      <c r="G94" s="177"/>
      <c r="H94" s="177"/>
      <c r="I94" s="178"/>
      <c r="J94" s="181"/>
      <c r="K94" s="156"/>
      <c r="L94" s="177"/>
      <c r="M94" s="177"/>
      <c r="N94" s="177"/>
      <c r="O94" s="177"/>
      <c r="P94" s="177"/>
      <c r="Q94" s="177"/>
      <c r="R94" s="177"/>
      <c r="S94" s="177"/>
      <c r="T94" s="177"/>
      <c r="U94" s="179"/>
      <c r="V94" s="177"/>
      <c r="W94" s="177"/>
      <c r="X94" s="177"/>
      <c r="Y94" s="177"/>
      <c r="Z94" s="177"/>
      <c r="AA94" s="177"/>
      <c r="AB94" s="179"/>
      <c r="AC94" s="177"/>
      <c r="AD94" s="177"/>
      <c r="AE94" s="177"/>
      <c r="AF94" s="177"/>
      <c r="AG94" s="177"/>
      <c r="AH94" s="177"/>
      <c r="AI94" s="177"/>
      <c r="AJ94" s="177"/>
      <c r="AK94" s="179"/>
      <c r="AL94" s="177"/>
      <c r="AM94" s="177"/>
      <c r="AN94" s="177"/>
      <c r="AO94" s="177"/>
      <c r="AP94" s="177"/>
      <c r="AQ94" s="177"/>
      <c r="AR94" s="177"/>
      <c r="AS94" s="178"/>
      <c r="AT94" s="177"/>
      <c r="AU94" s="177"/>
      <c r="AV94" s="177"/>
      <c r="AW94" s="177"/>
      <c r="AX94" s="177"/>
      <c r="AY94" s="177"/>
      <c r="AZ94" s="177"/>
      <c r="BA94" s="177"/>
      <c r="BB94" s="177"/>
      <c r="BC94" s="177"/>
      <c r="BD94" s="177"/>
      <c r="BE94" s="177"/>
      <c r="BF94" s="179"/>
      <c r="BG94" s="177"/>
      <c r="BH94" s="177"/>
      <c r="BI94" s="177"/>
      <c r="BJ94" s="177"/>
      <c r="BK94" s="177"/>
      <c r="BL94" s="177"/>
      <c r="BM94" s="177"/>
      <c r="BN94" s="177"/>
      <c r="BO94" s="177"/>
      <c r="BP94" s="177"/>
      <c r="BQ94" s="177"/>
      <c r="BR94" s="179"/>
      <c r="BS94" s="177"/>
      <c r="BT94" s="177"/>
      <c r="BU94" s="177"/>
      <c r="BV94" s="177"/>
      <c r="BW94" s="177"/>
      <c r="BX94" s="177"/>
      <c r="BY94" s="177"/>
      <c r="BZ94" s="177"/>
      <c r="CA94" s="177"/>
      <c r="CB94" s="179"/>
      <c r="CC94" s="177"/>
      <c r="CD94" s="177"/>
      <c r="CE94" s="177"/>
      <c r="CF94" s="177"/>
      <c r="CG94" s="177"/>
      <c r="CH94" s="177"/>
      <c r="CI94" s="177"/>
      <c r="CJ94" s="177"/>
      <c r="CK94" s="178"/>
      <c r="CL94" s="180"/>
    </row>
    <row r="95" spans="1:90">
      <c r="A95" s="93">
        <f>ROWS($A$3:A93)</f>
        <v>91</v>
      </c>
      <c r="B95" s="295" t="s">
        <v>106</v>
      </c>
      <c r="C95" s="243">
        <v>2010</v>
      </c>
      <c r="D95" s="319" t="s">
        <v>11</v>
      </c>
      <c r="E95" s="322">
        <v>40441</v>
      </c>
      <c r="F95" s="156">
        <f>SUM(AT95:BF95)</f>
        <v>617300</v>
      </c>
      <c r="G95" s="177">
        <f>SUM(BG95:BR95)</f>
        <v>141500</v>
      </c>
      <c r="H95" s="177">
        <f>SUM(BS95:CB95)</f>
        <v>370400</v>
      </c>
      <c r="I95" s="178">
        <f>SUM(CC95:CK95)</f>
        <v>1004800</v>
      </c>
      <c r="J95" s="181"/>
      <c r="K95" s="156">
        <f>BF95</f>
        <v>165800</v>
      </c>
      <c r="L95" s="177">
        <f>AY95</f>
        <v>42000</v>
      </c>
      <c r="M95" s="177">
        <f>BD95</f>
        <v>41900</v>
      </c>
      <c r="N95" s="177">
        <f>AW95</f>
        <v>57600</v>
      </c>
      <c r="O95" s="177">
        <f>BE95</f>
        <v>44000</v>
      </c>
      <c r="P95" s="177">
        <f>'2011'!BA95</f>
        <v>27400</v>
      </c>
      <c r="Q95" s="177">
        <f>'2011'!AU95</f>
        <v>17100</v>
      </c>
      <c r="R95" s="177">
        <f>AX95</f>
        <v>28800</v>
      </c>
      <c r="S95" s="177">
        <f>AV95</f>
        <v>12300</v>
      </c>
      <c r="T95" s="177">
        <f t="shared" ref="T95:U98" si="206">BB95</f>
        <v>43200</v>
      </c>
      <c r="U95" s="179">
        <f t="shared" si="206"/>
        <v>135100</v>
      </c>
      <c r="V95" s="177">
        <f>BJ95</f>
        <v>1900</v>
      </c>
      <c r="W95" s="177">
        <f>BR95</f>
        <v>23000</v>
      </c>
      <c r="X95" s="177">
        <f>BI95</f>
        <v>6400</v>
      </c>
      <c r="Y95" s="177">
        <f>BN95</f>
        <v>22700</v>
      </c>
      <c r="Z95" s="177">
        <f>BM95</f>
        <v>47900</v>
      </c>
      <c r="AA95" s="177">
        <f>BQ95</f>
        <v>18600</v>
      </c>
      <c r="AB95" s="179">
        <f>BP95</f>
        <v>21000</v>
      </c>
      <c r="AC95" s="177">
        <f>BX95</f>
        <v>64900</v>
      </c>
      <c r="AD95" s="177">
        <f>BU95</f>
        <v>18300</v>
      </c>
      <c r="AE95" s="177">
        <f>BT95</f>
        <v>56300</v>
      </c>
      <c r="AF95" s="177">
        <f>CA95</f>
        <v>17900</v>
      </c>
      <c r="AG95" s="177">
        <f>BV95</f>
        <v>38800</v>
      </c>
      <c r="AH95" s="177">
        <f>BZ95</f>
        <v>56400</v>
      </c>
      <c r="AI95" s="177">
        <f>BW95</f>
        <v>26900</v>
      </c>
      <c r="AJ95" s="177">
        <f>BY95</f>
        <v>32900</v>
      </c>
      <c r="AK95" s="179">
        <f>CB95</f>
        <v>58000</v>
      </c>
      <c r="AL95" s="177">
        <f>CE95</f>
        <v>21200</v>
      </c>
      <c r="AM95" s="177">
        <f>CH95</f>
        <v>217100</v>
      </c>
      <c r="AN95" s="177">
        <f>CJ95</f>
        <v>443900</v>
      </c>
      <c r="AO95" s="177">
        <f t="shared" ref="AO95:AP98" si="207">CC95</f>
        <v>49800</v>
      </c>
      <c r="AP95" s="177">
        <f t="shared" si="207"/>
        <v>9200</v>
      </c>
      <c r="AQ95" s="177">
        <f>CK95</f>
        <v>78000</v>
      </c>
      <c r="AR95" s="177">
        <f>CI95</f>
        <v>62000</v>
      </c>
      <c r="AS95" s="178">
        <f>CG95</f>
        <v>123600</v>
      </c>
      <c r="AT95" s="304">
        <v>2100</v>
      </c>
      <c r="AU95" s="304">
        <v>17100</v>
      </c>
      <c r="AV95" s="304">
        <v>12300</v>
      </c>
      <c r="AW95" s="304">
        <v>57600</v>
      </c>
      <c r="AX95" s="304">
        <v>28800</v>
      </c>
      <c r="AY95" s="304">
        <v>42000</v>
      </c>
      <c r="AZ95" s="304">
        <v>0</v>
      </c>
      <c r="BA95" s="304">
        <v>27400</v>
      </c>
      <c r="BB95" s="304">
        <v>43200</v>
      </c>
      <c r="BC95" s="304">
        <v>135100</v>
      </c>
      <c r="BD95" s="304">
        <v>41900</v>
      </c>
      <c r="BE95" s="304">
        <v>44000</v>
      </c>
      <c r="BF95" s="305">
        <v>165800</v>
      </c>
      <c r="BG95" s="304">
        <v>0</v>
      </c>
      <c r="BH95" s="304">
        <v>0</v>
      </c>
      <c r="BI95" s="304">
        <v>6400</v>
      </c>
      <c r="BJ95" s="304">
        <v>1900</v>
      </c>
      <c r="BK95" s="304">
        <v>0</v>
      </c>
      <c r="BL95" s="304">
        <v>0</v>
      </c>
      <c r="BM95" s="304">
        <v>47900</v>
      </c>
      <c r="BN95" s="304">
        <v>22700</v>
      </c>
      <c r="BO95" s="304">
        <v>0</v>
      </c>
      <c r="BP95" s="304">
        <v>21000</v>
      </c>
      <c r="BQ95" s="304">
        <v>18600</v>
      </c>
      <c r="BR95" s="305">
        <v>23000</v>
      </c>
      <c r="BS95" s="304">
        <v>0</v>
      </c>
      <c r="BT95" s="304">
        <v>56300</v>
      </c>
      <c r="BU95" s="304">
        <v>18300</v>
      </c>
      <c r="BV95" s="304">
        <v>38800</v>
      </c>
      <c r="BW95" s="304">
        <v>26900</v>
      </c>
      <c r="BX95" s="304">
        <v>64900</v>
      </c>
      <c r="BY95" s="304">
        <v>32900</v>
      </c>
      <c r="BZ95" s="304">
        <v>56400</v>
      </c>
      <c r="CA95" s="304">
        <v>17900</v>
      </c>
      <c r="CB95" s="305">
        <v>58000</v>
      </c>
      <c r="CC95" s="304">
        <v>49800</v>
      </c>
      <c r="CD95" s="304">
        <v>9200</v>
      </c>
      <c r="CE95" s="304">
        <v>21200</v>
      </c>
      <c r="CF95" s="304">
        <v>0</v>
      </c>
      <c r="CG95" s="304">
        <v>123600</v>
      </c>
      <c r="CH95" s="304">
        <v>217100</v>
      </c>
      <c r="CI95" s="304">
        <v>62000</v>
      </c>
      <c r="CJ95" s="304">
        <v>443900</v>
      </c>
      <c r="CK95" s="306">
        <v>78000</v>
      </c>
      <c r="CL95" s="180">
        <v>2232162</v>
      </c>
    </row>
    <row r="96" spans="1:90">
      <c r="A96" s="93">
        <f>ROWS($A$3:A94)</f>
        <v>92</v>
      </c>
      <c r="B96" s="106" t="s">
        <v>107</v>
      </c>
      <c r="C96" s="238">
        <v>2010</v>
      </c>
      <c r="D96" s="319" t="s">
        <v>11</v>
      </c>
      <c r="E96" s="322">
        <v>40441</v>
      </c>
      <c r="F96" s="156">
        <f>SUM(AT96:BF96)</f>
        <v>617399</v>
      </c>
      <c r="G96" s="177">
        <f>SUM(BG96:BR96)</f>
        <v>142781</v>
      </c>
      <c r="H96" s="177">
        <f>SUM(BS96:CB96)</f>
        <v>370424</v>
      </c>
      <c r="I96" s="178">
        <f>SUM(CC96:CK96)</f>
        <v>1004630</v>
      </c>
      <c r="J96" s="181"/>
      <c r="K96" s="156">
        <f>BF96</f>
        <v>165837</v>
      </c>
      <c r="L96" s="177">
        <f>AY96</f>
        <v>41990</v>
      </c>
      <c r="M96" s="177">
        <f>BD96</f>
        <v>41892</v>
      </c>
      <c r="N96" s="177">
        <f>AW96</f>
        <v>57563</v>
      </c>
      <c r="O96" s="177">
        <f>BE96</f>
        <v>44020</v>
      </c>
      <c r="P96" s="177">
        <f>'2011'!BA96</f>
        <v>26046</v>
      </c>
      <c r="Q96" s="177">
        <f>'2011'!AU96</f>
        <v>17142</v>
      </c>
      <c r="R96" s="177">
        <f>AX96</f>
        <v>28784</v>
      </c>
      <c r="S96" s="177">
        <f>AV96</f>
        <v>12315</v>
      </c>
      <c r="T96" s="177">
        <f>BB96</f>
        <v>43221</v>
      </c>
      <c r="U96" s="179">
        <f>BC96</f>
        <v>135140</v>
      </c>
      <c r="V96" s="177">
        <f>BJ96</f>
        <v>1905</v>
      </c>
      <c r="W96" s="177">
        <f>BR96</f>
        <v>23030</v>
      </c>
      <c r="X96" s="177">
        <f>BI96</f>
        <v>6427</v>
      </c>
      <c r="Y96" s="177">
        <f>BN96</f>
        <v>22732</v>
      </c>
      <c r="Z96" s="177">
        <f>BM96</f>
        <v>47945</v>
      </c>
      <c r="AA96" s="177">
        <f>BQ96</f>
        <v>18389</v>
      </c>
      <c r="AB96" s="179">
        <f>BP96</f>
        <v>21039</v>
      </c>
      <c r="AC96" s="177">
        <f>BX96</f>
        <v>64945</v>
      </c>
      <c r="AD96" s="177">
        <f>BU96</f>
        <v>18303</v>
      </c>
      <c r="AE96" s="177">
        <f>BT96</f>
        <v>56256</v>
      </c>
      <c r="AF96" s="177">
        <f>CA96</f>
        <v>17921</v>
      </c>
      <c r="AG96" s="177">
        <f>BV96</f>
        <v>38783</v>
      </c>
      <c r="AH96" s="177">
        <f>BZ96</f>
        <v>56430</v>
      </c>
      <c r="AI96" s="177">
        <f>BW96</f>
        <v>26870</v>
      </c>
      <c r="AJ96" s="177">
        <f>BY96</f>
        <v>32882</v>
      </c>
      <c r="AK96" s="179">
        <f>CB96</f>
        <v>58034</v>
      </c>
      <c r="AL96" s="177">
        <f>CE96</f>
        <v>21184</v>
      </c>
      <c r="AM96" s="177">
        <f>CH96</f>
        <v>217098</v>
      </c>
      <c r="AN96" s="177">
        <f>CJ96</f>
        <v>443864</v>
      </c>
      <c r="AO96" s="177">
        <f>CC96</f>
        <v>49804</v>
      </c>
      <c r="AP96" s="177">
        <f>CD96</f>
        <v>9156</v>
      </c>
      <c r="AQ96" s="177">
        <f>CK96</f>
        <v>78000</v>
      </c>
      <c r="AR96" s="177">
        <f>CI96</f>
        <v>61951</v>
      </c>
      <c r="AS96" s="178">
        <f>CG96</f>
        <v>117483</v>
      </c>
      <c r="AT96" s="177">
        <v>2097</v>
      </c>
      <c r="AU96" s="177">
        <v>17142</v>
      </c>
      <c r="AV96" s="177">
        <v>12315</v>
      </c>
      <c r="AW96" s="177">
        <v>57563</v>
      </c>
      <c r="AX96" s="177">
        <v>28784</v>
      </c>
      <c r="AY96" s="177">
        <v>41990</v>
      </c>
      <c r="AZ96" s="177">
        <v>1352</v>
      </c>
      <c r="BA96" s="177">
        <v>26046</v>
      </c>
      <c r="BB96" s="177">
        <v>43221</v>
      </c>
      <c r="BC96" s="177">
        <v>135140</v>
      </c>
      <c r="BD96" s="177">
        <v>41892</v>
      </c>
      <c r="BE96" s="177">
        <v>44020</v>
      </c>
      <c r="BF96" s="179">
        <v>165837</v>
      </c>
      <c r="BG96" s="181">
        <v>0</v>
      </c>
      <c r="BH96" s="177">
        <v>0</v>
      </c>
      <c r="BI96" s="177">
        <v>6427</v>
      </c>
      <c r="BJ96" s="177">
        <v>1905</v>
      </c>
      <c r="BK96" s="177">
        <v>1079</v>
      </c>
      <c r="BL96" s="177">
        <v>54</v>
      </c>
      <c r="BM96" s="177">
        <v>47945</v>
      </c>
      <c r="BN96" s="177">
        <v>22732</v>
      </c>
      <c r="BO96" s="177">
        <v>181</v>
      </c>
      <c r="BP96" s="177">
        <v>21039</v>
      </c>
      <c r="BQ96" s="177">
        <v>18389</v>
      </c>
      <c r="BR96" s="179">
        <v>23030</v>
      </c>
      <c r="BS96" s="177">
        <v>0</v>
      </c>
      <c r="BT96" s="177">
        <v>56256</v>
      </c>
      <c r="BU96" s="177">
        <v>18303</v>
      </c>
      <c r="BV96" s="177">
        <v>38783</v>
      </c>
      <c r="BW96" s="177">
        <v>26870</v>
      </c>
      <c r="BX96" s="177">
        <v>64945</v>
      </c>
      <c r="BY96" s="177">
        <v>32882</v>
      </c>
      <c r="BZ96" s="177">
        <v>56430</v>
      </c>
      <c r="CA96" s="177">
        <v>17921</v>
      </c>
      <c r="CB96" s="179">
        <v>58034</v>
      </c>
      <c r="CC96" s="177">
        <v>49804</v>
      </c>
      <c r="CD96" s="177">
        <v>9156</v>
      </c>
      <c r="CE96" s="177">
        <v>21184</v>
      </c>
      <c r="CF96" s="177">
        <v>6090</v>
      </c>
      <c r="CG96" s="177">
        <v>117483</v>
      </c>
      <c r="CH96" s="177">
        <v>217098</v>
      </c>
      <c r="CI96" s="177">
        <v>61951</v>
      </c>
      <c r="CJ96" s="177">
        <v>443864</v>
      </c>
      <c r="CK96" s="178">
        <v>78000</v>
      </c>
      <c r="CL96" s="180">
        <v>2128830</v>
      </c>
    </row>
    <row r="97" spans="1:90">
      <c r="A97" s="93">
        <f>ROWS($A$3:A95)</f>
        <v>93</v>
      </c>
      <c r="B97" s="63" t="s">
        <v>82</v>
      </c>
      <c r="C97" s="242">
        <v>2001</v>
      </c>
      <c r="D97" s="319" t="s">
        <v>14</v>
      </c>
      <c r="E97" s="322">
        <v>40441</v>
      </c>
      <c r="F97" s="194">
        <v>122737</v>
      </c>
      <c r="G97" s="195">
        <v>30239</v>
      </c>
      <c r="H97" s="195">
        <v>82089</v>
      </c>
      <c r="I97" s="196">
        <v>186831</v>
      </c>
      <c r="J97" s="348"/>
      <c r="K97" s="197">
        <f>BF97</f>
        <v>29042</v>
      </c>
      <c r="L97" s="147">
        <f>AY97</f>
        <v>8671</v>
      </c>
      <c r="M97" s="147">
        <f>BD97</f>
        <v>9647</v>
      </c>
      <c r="N97" s="147">
        <f>AW97</f>
        <v>12155</v>
      </c>
      <c r="O97" s="147">
        <f>BE97</f>
        <v>8882</v>
      </c>
      <c r="P97" s="147">
        <f>'2011'!AZ97+'2011'!BA97</f>
        <v>6750</v>
      </c>
      <c r="Q97" s="147">
        <f>'2011'!AU97</f>
        <v>3596</v>
      </c>
      <c r="R97" s="147">
        <f>AT97+AX97</f>
        <v>6359</v>
      </c>
      <c r="S97" s="147">
        <f>AV97</f>
        <v>3597</v>
      </c>
      <c r="T97" s="147">
        <f t="shared" si="206"/>
        <v>9048</v>
      </c>
      <c r="U97" s="145">
        <f t="shared" si="206"/>
        <v>25010</v>
      </c>
      <c r="V97" s="147">
        <f>BJ97</f>
        <v>733</v>
      </c>
      <c r="W97" s="147">
        <f>BR97</f>
        <v>4744</v>
      </c>
      <c r="X97" s="147">
        <f>BH97+BI97</f>
        <v>2102</v>
      </c>
      <c r="Y97" s="147">
        <f>BK97+BL97+BN97</f>
        <v>5175</v>
      </c>
      <c r="Z97" s="147">
        <f>BM97</f>
        <v>9713</v>
      </c>
      <c r="AA97" s="147">
        <f>BO97+BQ97</f>
        <v>3302</v>
      </c>
      <c r="AB97" s="145">
        <f>BP97</f>
        <v>4470</v>
      </c>
      <c r="AC97" s="147">
        <f>BX97</f>
        <v>13714</v>
      </c>
      <c r="AD97" s="147">
        <f>BU97</f>
        <v>4577</v>
      </c>
      <c r="AE97" s="147">
        <f>BT97</f>
        <v>12575</v>
      </c>
      <c r="AF97" s="147">
        <f>CA97</f>
        <v>5079</v>
      </c>
      <c r="AG97" s="147">
        <f>BV97</f>
        <v>11376</v>
      </c>
      <c r="AH97" s="147">
        <f>BZ97</f>
        <v>10288</v>
      </c>
      <c r="AI97" s="147">
        <f>BW97</f>
        <v>6966</v>
      </c>
      <c r="AJ97" s="147">
        <f>BY97</f>
        <v>5669</v>
      </c>
      <c r="AK97" s="145">
        <f>CB97</f>
        <v>11846</v>
      </c>
      <c r="AL97" s="147">
        <f>CE97</f>
        <v>3682</v>
      </c>
      <c r="AM97" s="147">
        <f>CH97</f>
        <v>40047</v>
      </c>
      <c r="AN97" s="147">
        <f>CJ97</f>
        <v>77867</v>
      </c>
      <c r="AO97" s="147">
        <f t="shared" si="207"/>
        <v>10463</v>
      </c>
      <c r="AP97" s="147">
        <f t="shared" si="207"/>
        <v>2188</v>
      </c>
      <c r="AQ97" s="147">
        <f>CK97</f>
        <v>16050</v>
      </c>
      <c r="AR97" s="147">
        <f>CI97</f>
        <v>13238</v>
      </c>
      <c r="AS97" s="198">
        <f>CF97+CG97</f>
        <v>23297</v>
      </c>
      <c r="AT97" s="147">
        <v>488</v>
      </c>
      <c r="AU97" s="147">
        <v>3596</v>
      </c>
      <c r="AV97" s="147">
        <v>3597</v>
      </c>
      <c r="AW97" s="147">
        <v>12155</v>
      </c>
      <c r="AX97" s="147">
        <v>5871</v>
      </c>
      <c r="AY97" s="147">
        <v>8671</v>
      </c>
      <c r="AZ97" s="147">
        <v>266</v>
      </c>
      <c r="BA97" s="147">
        <v>6484</v>
      </c>
      <c r="BB97" s="147">
        <v>9048</v>
      </c>
      <c r="BC97" s="147">
        <v>25010</v>
      </c>
      <c r="BD97" s="147">
        <v>9647</v>
      </c>
      <c r="BE97" s="147">
        <v>8882</v>
      </c>
      <c r="BF97" s="145">
        <v>29042</v>
      </c>
      <c r="BG97" s="199">
        <v>0</v>
      </c>
      <c r="BH97" s="147">
        <v>113</v>
      </c>
      <c r="BI97" s="147">
        <v>1989</v>
      </c>
      <c r="BJ97" s="147">
        <v>733</v>
      </c>
      <c r="BK97" s="147">
        <v>256</v>
      </c>
      <c r="BL97" s="147">
        <v>39</v>
      </c>
      <c r="BM97" s="147">
        <v>9713</v>
      </c>
      <c r="BN97" s="147">
        <v>4880</v>
      </c>
      <c r="BO97" s="199">
        <v>113</v>
      </c>
      <c r="BP97" s="147">
        <v>4470</v>
      </c>
      <c r="BQ97" s="147">
        <v>3189</v>
      </c>
      <c r="BR97" s="145">
        <v>4744</v>
      </c>
      <c r="BS97" s="199">
        <v>0</v>
      </c>
      <c r="BT97" s="147">
        <v>12575</v>
      </c>
      <c r="BU97" s="147">
        <v>4577</v>
      </c>
      <c r="BV97" s="147">
        <v>11376</v>
      </c>
      <c r="BW97" s="147">
        <v>6966</v>
      </c>
      <c r="BX97" s="147">
        <v>13714</v>
      </c>
      <c r="BY97" s="147">
        <v>5669</v>
      </c>
      <c r="BZ97" s="147">
        <v>10288</v>
      </c>
      <c r="CA97" s="147">
        <v>5079</v>
      </c>
      <c r="CB97" s="145">
        <v>11846</v>
      </c>
      <c r="CC97" s="147">
        <v>10463</v>
      </c>
      <c r="CD97" s="147">
        <v>2188</v>
      </c>
      <c r="CE97" s="147">
        <v>3682</v>
      </c>
      <c r="CF97" s="147">
        <v>1002</v>
      </c>
      <c r="CG97" s="147">
        <v>22295</v>
      </c>
      <c r="CH97" s="147">
        <v>40047</v>
      </c>
      <c r="CI97" s="147">
        <v>13238</v>
      </c>
      <c r="CJ97" s="147">
        <v>77867</v>
      </c>
      <c r="CK97" s="198">
        <v>16050</v>
      </c>
      <c r="CL97" s="163">
        <v>421896</v>
      </c>
    </row>
    <row r="98" spans="1:90">
      <c r="A98" s="93">
        <f>ROWS($A$3:A96)</f>
        <v>94</v>
      </c>
      <c r="B98" s="63" t="s">
        <v>107</v>
      </c>
      <c r="C98" s="245">
        <f>C97</f>
        <v>2001</v>
      </c>
      <c r="D98" s="319" t="s">
        <v>11</v>
      </c>
      <c r="E98" s="322">
        <v>40441</v>
      </c>
      <c r="F98" s="194">
        <v>618865</v>
      </c>
      <c r="G98" s="195">
        <v>149025</v>
      </c>
      <c r="H98" s="195">
        <v>366598</v>
      </c>
      <c r="I98" s="196">
        <v>1009287</v>
      </c>
      <c r="J98" s="348"/>
      <c r="K98" s="197">
        <f>BF98</f>
        <v>150712</v>
      </c>
      <c r="L98" s="147">
        <f>AY98</f>
        <v>42810</v>
      </c>
      <c r="M98" s="147">
        <f>BD98</f>
        <v>45971</v>
      </c>
      <c r="N98" s="147">
        <f>AW98</f>
        <v>57752</v>
      </c>
      <c r="O98" s="147">
        <f>BE98</f>
        <v>42099</v>
      </c>
      <c r="P98" s="147">
        <f>'2011'!AZ98+'2011'!BA98</f>
        <v>34324</v>
      </c>
      <c r="Q98" s="147">
        <f>'2011'!AU98</f>
        <v>18437</v>
      </c>
      <c r="R98" s="147">
        <f>AT98+AX98</f>
        <v>31700</v>
      </c>
      <c r="S98" s="147">
        <f>AV98</f>
        <v>14642</v>
      </c>
      <c r="T98" s="147">
        <f t="shared" si="206"/>
        <v>45007</v>
      </c>
      <c r="U98" s="145">
        <f t="shared" si="206"/>
        <v>135411</v>
      </c>
      <c r="V98" s="147">
        <f>BJ98</f>
        <v>2815</v>
      </c>
      <c r="W98" s="147">
        <f>BR98</f>
        <v>22064</v>
      </c>
      <c r="X98" s="147">
        <f>BH98+BI98</f>
        <v>8816</v>
      </c>
      <c r="Y98" s="147">
        <f>BK98+BL98+BN98</f>
        <v>25904</v>
      </c>
      <c r="Z98" s="147">
        <f>BM98</f>
        <v>51750</v>
      </c>
      <c r="AA98" s="147">
        <f>BO98+BQ98</f>
        <v>16216</v>
      </c>
      <c r="AB98" s="145">
        <f>BP98</f>
        <v>21460</v>
      </c>
      <c r="AC98" s="147">
        <f>BX98</f>
        <v>61788</v>
      </c>
      <c r="AD98" s="147">
        <f>BU98</f>
        <v>19448</v>
      </c>
      <c r="AE98" s="147">
        <f>BT98</f>
        <v>55233</v>
      </c>
      <c r="AF98" s="147">
        <f>CA98</f>
        <v>19955</v>
      </c>
      <c r="AG98" s="147">
        <f>BV98</f>
        <v>44544</v>
      </c>
      <c r="AH98" s="147">
        <f>BZ98</f>
        <v>53603</v>
      </c>
      <c r="AI98" s="147">
        <f>BW98</f>
        <v>29404</v>
      </c>
      <c r="AJ98" s="147">
        <f>BY98</f>
        <v>28518</v>
      </c>
      <c r="AK98" s="145">
        <f>CB98</f>
        <v>54105</v>
      </c>
      <c r="AL98" s="147">
        <f>CE98</f>
        <v>19008</v>
      </c>
      <c r="AM98" s="147">
        <f>CH98</f>
        <v>219991</v>
      </c>
      <c r="AN98" s="147">
        <f>CJ98</f>
        <v>437632</v>
      </c>
      <c r="AO98" s="147">
        <f t="shared" si="207"/>
        <v>51966</v>
      </c>
      <c r="AP98" s="147">
        <f t="shared" si="207"/>
        <v>9443</v>
      </c>
      <c r="AQ98" s="147">
        <f>CK98</f>
        <v>80123</v>
      </c>
      <c r="AR98" s="147">
        <f>CI98</f>
        <v>71575</v>
      </c>
      <c r="AS98" s="198">
        <f>CF98+CG98</f>
        <v>119549</v>
      </c>
      <c r="AT98" s="147">
        <v>2163</v>
      </c>
      <c r="AU98" s="147">
        <v>18437</v>
      </c>
      <c r="AV98" s="147">
        <v>14642</v>
      </c>
      <c r="AW98" s="147">
        <v>57752</v>
      </c>
      <c r="AX98" s="147">
        <v>29537</v>
      </c>
      <c r="AY98" s="147">
        <v>42810</v>
      </c>
      <c r="AZ98" s="147">
        <v>832</v>
      </c>
      <c r="BA98" s="147">
        <v>33492</v>
      </c>
      <c r="BB98" s="147">
        <v>45007</v>
      </c>
      <c r="BC98" s="147">
        <v>135411</v>
      </c>
      <c r="BD98" s="147">
        <v>45971</v>
      </c>
      <c r="BE98" s="147">
        <v>42099</v>
      </c>
      <c r="BF98" s="145">
        <v>150712</v>
      </c>
      <c r="BG98" s="199">
        <v>0</v>
      </c>
      <c r="BH98" s="147">
        <v>500</v>
      </c>
      <c r="BI98" s="147">
        <v>8316</v>
      </c>
      <c r="BJ98" s="147">
        <v>2815</v>
      </c>
      <c r="BK98" s="147">
        <v>1657</v>
      </c>
      <c r="BL98" s="147">
        <v>163</v>
      </c>
      <c r="BM98" s="147">
        <v>51750</v>
      </c>
      <c r="BN98" s="147">
        <v>24084</v>
      </c>
      <c r="BO98" s="199">
        <v>477</v>
      </c>
      <c r="BP98" s="147">
        <v>21460</v>
      </c>
      <c r="BQ98" s="147">
        <v>15739</v>
      </c>
      <c r="BR98" s="145">
        <v>22064</v>
      </c>
      <c r="BS98" s="199">
        <v>0</v>
      </c>
      <c r="BT98" s="147">
        <v>55233</v>
      </c>
      <c r="BU98" s="147">
        <v>19448</v>
      </c>
      <c r="BV98" s="147">
        <v>44544</v>
      </c>
      <c r="BW98" s="147">
        <v>29404</v>
      </c>
      <c r="BX98" s="147">
        <v>61788</v>
      </c>
      <c r="BY98" s="147">
        <v>28518</v>
      </c>
      <c r="BZ98" s="147">
        <v>53603</v>
      </c>
      <c r="CA98" s="147">
        <v>19955</v>
      </c>
      <c r="CB98" s="145">
        <v>54105</v>
      </c>
      <c r="CC98" s="147">
        <v>51966</v>
      </c>
      <c r="CD98" s="147">
        <v>9443</v>
      </c>
      <c r="CE98" s="147">
        <v>19008</v>
      </c>
      <c r="CF98" s="147">
        <v>6155</v>
      </c>
      <c r="CG98" s="147">
        <v>113394</v>
      </c>
      <c r="CH98" s="147">
        <v>219991</v>
      </c>
      <c r="CI98" s="147">
        <v>71575</v>
      </c>
      <c r="CJ98" s="147">
        <v>437632</v>
      </c>
      <c r="CK98" s="198">
        <v>80123</v>
      </c>
      <c r="CL98" s="163">
        <v>2143775</v>
      </c>
    </row>
    <row r="99" spans="1:90">
      <c r="A99" s="93">
        <f>ROWS($A$3:A97)</f>
        <v>95</v>
      </c>
      <c r="B99" s="63"/>
      <c r="C99" s="243"/>
      <c r="D99" s="319"/>
      <c r="E99" s="320"/>
      <c r="F99" s="194" t="s">
        <v>245</v>
      </c>
      <c r="G99" s="195" t="s">
        <v>245</v>
      </c>
      <c r="H99" s="195" t="s">
        <v>245</v>
      </c>
      <c r="I99" s="196" t="s">
        <v>245</v>
      </c>
      <c r="J99" s="348"/>
      <c r="K99" s="197" t="s">
        <v>245</v>
      </c>
      <c r="L99" s="147" t="s">
        <v>245</v>
      </c>
      <c r="M99" s="147" t="s">
        <v>245</v>
      </c>
      <c r="N99" s="147" t="s">
        <v>245</v>
      </c>
      <c r="O99" s="147" t="s">
        <v>245</v>
      </c>
      <c r="P99" s="147" t="s">
        <v>229</v>
      </c>
      <c r="Q99" s="147" t="s">
        <v>245</v>
      </c>
      <c r="R99" s="147" t="s">
        <v>230</v>
      </c>
      <c r="S99" s="147" t="s">
        <v>245</v>
      </c>
      <c r="T99" s="147" t="s">
        <v>245</v>
      </c>
      <c r="U99" s="145" t="s">
        <v>245</v>
      </c>
      <c r="V99" s="147" t="s">
        <v>231</v>
      </c>
      <c r="W99" s="147" t="s">
        <v>245</v>
      </c>
      <c r="X99" s="147" t="s">
        <v>232</v>
      </c>
      <c r="Y99" s="147" t="s">
        <v>233</v>
      </c>
      <c r="Z99" s="147" t="s">
        <v>245</v>
      </c>
      <c r="AA99" s="147" t="s">
        <v>234</v>
      </c>
      <c r="AB99" s="145" t="s">
        <v>245</v>
      </c>
      <c r="AC99" s="147" t="s">
        <v>245</v>
      </c>
      <c r="AD99" s="147" t="s">
        <v>245</v>
      </c>
      <c r="AE99" s="147" t="s">
        <v>235</v>
      </c>
      <c r="AF99" s="147" t="s">
        <v>245</v>
      </c>
      <c r="AG99" s="147" t="s">
        <v>245</v>
      </c>
      <c r="AH99" s="147" t="s">
        <v>245</v>
      </c>
      <c r="AI99" s="147" t="s">
        <v>245</v>
      </c>
      <c r="AJ99" s="147" t="s">
        <v>245</v>
      </c>
      <c r="AK99" s="145" t="s">
        <v>245</v>
      </c>
      <c r="AL99" s="147" t="s">
        <v>245</v>
      </c>
      <c r="AM99" s="147" t="s">
        <v>245</v>
      </c>
      <c r="AN99" s="147" t="s">
        <v>245</v>
      </c>
      <c r="AO99" s="147" t="s">
        <v>245</v>
      </c>
      <c r="AP99" s="147" t="s">
        <v>245</v>
      </c>
      <c r="AQ99" s="147" t="s">
        <v>245</v>
      </c>
      <c r="AR99" s="147" t="s">
        <v>245</v>
      </c>
      <c r="AS99" s="198" t="s">
        <v>236</v>
      </c>
      <c r="AT99" s="147" t="s">
        <v>245</v>
      </c>
      <c r="AU99" s="147" t="s">
        <v>245</v>
      </c>
      <c r="AV99" s="147" t="s">
        <v>245</v>
      </c>
      <c r="AW99" s="147" t="s">
        <v>245</v>
      </c>
      <c r="AX99" s="147" t="s">
        <v>245</v>
      </c>
      <c r="AY99" s="147" t="s">
        <v>245</v>
      </c>
      <c r="AZ99" s="147" t="s">
        <v>245</v>
      </c>
      <c r="BA99" s="147" t="s">
        <v>245</v>
      </c>
      <c r="BB99" s="147" t="s">
        <v>245</v>
      </c>
      <c r="BC99" s="147" t="s">
        <v>245</v>
      </c>
      <c r="BD99" s="147" t="s">
        <v>245</v>
      </c>
      <c r="BE99" s="147" t="s">
        <v>245</v>
      </c>
      <c r="BF99" s="145" t="s">
        <v>245</v>
      </c>
      <c r="BG99" s="199" t="s">
        <v>245</v>
      </c>
      <c r="BH99" s="147" t="s">
        <v>245</v>
      </c>
      <c r="BI99" s="147" t="s">
        <v>245</v>
      </c>
      <c r="BJ99" s="147" t="s">
        <v>245</v>
      </c>
      <c r="BK99" s="147" t="s">
        <v>245</v>
      </c>
      <c r="BL99" s="147" t="s">
        <v>245</v>
      </c>
      <c r="BM99" s="147" t="s">
        <v>245</v>
      </c>
      <c r="BN99" s="147" t="s">
        <v>245</v>
      </c>
      <c r="BO99" s="199" t="s">
        <v>245</v>
      </c>
      <c r="BP99" s="147" t="s">
        <v>245</v>
      </c>
      <c r="BQ99" s="147" t="s">
        <v>245</v>
      </c>
      <c r="BR99" s="145" t="s">
        <v>245</v>
      </c>
      <c r="BS99" s="199" t="s">
        <v>245</v>
      </c>
      <c r="BT99" s="147" t="s">
        <v>245</v>
      </c>
      <c r="BU99" s="147" t="s">
        <v>245</v>
      </c>
      <c r="BV99" s="147" t="s">
        <v>245</v>
      </c>
      <c r="BW99" s="147" t="s">
        <v>245</v>
      </c>
      <c r="BX99" s="147" t="s">
        <v>245</v>
      </c>
      <c r="BY99" s="147" t="s">
        <v>245</v>
      </c>
      <c r="BZ99" s="147" t="s">
        <v>245</v>
      </c>
      <c r="CA99" s="147" t="s">
        <v>245</v>
      </c>
      <c r="CB99" s="145" t="s">
        <v>245</v>
      </c>
      <c r="CC99" s="147" t="s">
        <v>245</v>
      </c>
      <c r="CD99" s="147" t="s">
        <v>245</v>
      </c>
      <c r="CE99" s="147" t="s">
        <v>245</v>
      </c>
      <c r="CF99" s="147" t="s">
        <v>245</v>
      </c>
      <c r="CG99" s="147" t="s">
        <v>245</v>
      </c>
      <c r="CH99" s="147" t="s">
        <v>245</v>
      </c>
      <c r="CI99" s="147" t="s">
        <v>245</v>
      </c>
      <c r="CJ99" s="147" t="s">
        <v>245</v>
      </c>
      <c r="CK99" s="198" t="s">
        <v>245</v>
      </c>
      <c r="CL99" s="163" t="s">
        <v>245</v>
      </c>
    </row>
    <row r="100" spans="1:90">
      <c r="A100" s="93">
        <f>ROWS($A$3:A98)</f>
        <v>96</v>
      </c>
      <c r="B100" s="63" t="s">
        <v>275</v>
      </c>
      <c r="C100" s="243">
        <f>C86</f>
        <v>2010</v>
      </c>
      <c r="D100" s="319" t="s">
        <v>14</v>
      </c>
      <c r="E100" s="322">
        <v>40652</v>
      </c>
      <c r="F100" s="194">
        <v>1657</v>
      </c>
      <c r="G100" s="195">
        <v>433</v>
      </c>
      <c r="H100" s="195">
        <v>749</v>
      </c>
      <c r="I100" s="196">
        <v>1460</v>
      </c>
      <c r="J100" s="348"/>
      <c r="K100" s="197">
        <f>BF100</f>
        <v>231</v>
      </c>
      <c r="L100" s="147">
        <f>AY100</f>
        <v>65</v>
      </c>
      <c r="M100" s="147">
        <f>BD100</f>
        <v>202</v>
      </c>
      <c r="N100" s="147">
        <f>AW100</f>
        <v>106</v>
      </c>
      <c r="O100" s="147">
        <f>BE100</f>
        <v>105</v>
      </c>
      <c r="P100" s="147">
        <f>'2009'!AZ101+'2009'!BA101</f>
        <v>658</v>
      </c>
      <c r="Q100" s="147">
        <f>'2009'!AU101</f>
        <v>260</v>
      </c>
      <c r="R100" s="147">
        <f>AT100+AX100</f>
        <v>137</v>
      </c>
      <c r="S100" s="147">
        <f>AV100</f>
        <v>68</v>
      </c>
      <c r="T100" s="147">
        <f>BB100</f>
        <v>159</v>
      </c>
      <c r="U100" s="145">
        <f>BC100</f>
        <v>327</v>
      </c>
      <c r="V100" s="147">
        <f>BG100+BJ100</f>
        <v>19</v>
      </c>
      <c r="W100" s="147">
        <f>BR100</f>
        <v>30</v>
      </c>
      <c r="X100" s="147">
        <f>BH100+BI100</f>
        <v>97</v>
      </c>
      <c r="Y100" s="147">
        <f>BK100+BL100+BN100</f>
        <v>35</v>
      </c>
      <c r="Z100" s="147">
        <f>BM100</f>
        <v>174</v>
      </c>
      <c r="AA100" s="147">
        <f>BO100+BQ100</f>
        <v>58</v>
      </c>
      <c r="AB100" s="145">
        <f>BP100</f>
        <v>21</v>
      </c>
      <c r="AC100" s="147">
        <f>BX100</f>
        <v>87</v>
      </c>
      <c r="AD100" s="147">
        <f>BU100</f>
        <v>106</v>
      </c>
      <c r="AE100" s="147">
        <f>BS100+BT100</f>
        <v>95</v>
      </c>
      <c r="AF100" s="147">
        <f>CA100</f>
        <v>102</v>
      </c>
      <c r="AG100" s="147">
        <f>BV100</f>
        <v>101</v>
      </c>
      <c r="AH100" s="147">
        <f>BZ100</f>
        <v>72</v>
      </c>
      <c r="AI100" s="147">
        <f>BW100</f>
        <v>75</v>
      </c>
      <c r="AJ100" s="147">
        <f>BY100</f>
        <v>70</v>
      </c>
      <c r="AK100" s="145">
        <f>CB100</f>
        <v>41</v>
      </c>
      <c r="AL100" s="147">
        <f>CE100</f>
        <v>94</v>
      </c>
      <c r="AM100" s="147">
        <f>CH100</f>
        <v>342</v>
      </c>
      <c r="AN100" s="147">
        <f>CJ100</f>
        <v>297</v>
      </c>
      <c r="AO100" s="147">
        <f>CC100</f>
        <v>127</v>
      </c>
      <c r="AP100" s="147">
        <f>CD100</f>
        <v>39</v>
      </c>
      <c r="AQ100" s="147">
        <f>CK100</f>
        <v>213</v>
      </c>
      <c r="AR100" s="147">
        <f>CI100</f>
        <v>89</v>
      </c>
      <c r="AS100" s="198">
        <f>CF100+CG100</f>
        <v>259</v>
      </c>
      <c r="AT100" s="147">
        <v>6</v>
      </c>
      <c r="AU100" s="147">
        <v>64</v>
      </c>
      <c r="AV100" s="147">
        <v>68</v>
      </c>
      <c r="AW100" s="147">
        <v>106</v>
      </c>
      <c r="AX100" s="147">
        <v>131</v>
      </c>
      <c r="AY100" s="147">
        <v>65</v>
      </c>
      <c r="AZ100" s="147">
        <v>19</v>
      </c>
      <c r="BA100" s="147">
        <v>174</v>
      </c>
      <c r="BB100" s="147">
        <v>159</v>
      </c>
      <c r="BC100" s="147">
        <v>327</v>
      </c>
      <c r="BD100" s="147">
        <v>202</v>
      </c>
      <c r="BE100" s="147">
        <v>105</v>
      </c>
      <c r="BF100" s="145">
        <v>231</v>
      </c>
      <c r="BG100" s="199">
        <v>3</v>
      </c>
      <c r="BH100" s="147">
        <v>2</v>
      </c>
      <c r="BI100" s="147">
        <v>95</v>
      </c>
      <c r="BJ100" s="147">
        <v>16</v>
      </c>
      <c r="BK100" s="147">
        <v>6</v>
      </c>
      <c r="BL100" s="147">
        <v>1</v>
      </c>
      <c r="BM100" s="147">
        <v>174</v>
      </c>
      <c r="BN100" s="147">
        <v>28</v>
      </c>
      <c r="BO100" s="199">
        <v>2</v>
      </c>
      <c r="BP100" s="147">
        <v>21</v>
      </c>
      <c r="BQ100" s="147">
        <v>56</v>
      </c>
      <c r="BR100" s="145">
        <v>30</v>
      </c>
      <c r="BS100" s="199">
        <v>9</v>
      </c>
      <c r="BT100" s="147">
        <v>86</v>
      </c>
      <c r="BU100" s="147">
        <v>106</v>
      </c>
      <c r="BV100" s="147">
        <v>101</v>
      </c>
      <c r="BW100" s="147">
        <v>75</v>
      </c>
      <c r="BX100" s="147">
        <v>87</v>
      </c>
      <c r="BY100" s="147">
        <v>70</v>
      </c>
      <c r="BZ100" s="147">
        <v>72</v>
      </c>
      <c r="CA100" s="147">
        <v>102</v>
      </c>
      <c r="CB100" s="145">
        <v>41</v>
      </c>
      <c r="CC100" s="147">
        <v>127</v>
      </c>
      <c r="CD100" s="147">
        <v>39</v>
      </c>
      <c r="CE100" s="147">
        <v>94</v>
      </c>
      <c r="CF100" s="147">
        <v>8</v>
      </c>
      <c r="CG100" s="147">
        <v>251</v>
      </c>
      <c r="CH100" s="147">
        <v>342</v>
      </c>
      <c r="CI100" s="147">
        <v>89</v>
      </c>
      <c r="CJ100" s="147">
        <v>297</v>
      </c>
      <c r="CK100" s="198">
        <v>213</v>
      </c>
      <c r="CL100" s="163">
        <v>4299</v>
      </c>
    </row>
    <row r="101" spans="1:90">
      <c r="A101" s="93">
        <f>ROWS($A$3:A99)</f>
        <v>97</v>
      </c>
      <c r="B101" s="63"/>
      <c r="C101" s="243"/>
      <c r="D101" s="319"/>
      <c r="E101" s="320"/>
      <c r="F101" s="194"/>
      <c r="G101" s="195"/>
      <c r="H101" s="195"/>
      <c r="I101" s="196"/>
      <c r="J101" s="348"/>
      <c r="K101" s="197">
        <f t="shared" ref="K101:K106" si="208">BF101</f>
        <v>0</v>
      </c>
      <c r="L101" s="147">
        <f t="shared" ref="L101:L106" si="209">AY101</f>
        <v>0</v>
      </c>
      <c r="M101" s="147">
        <f t="shared" ref="M101:M106" si="210">BD101</f>
        <v>0</v>
      </c>
      <c r="N101" s="147">
        <f t="shared" ref="N101:N106" si="211">AW101</f>
        <v>0</v>
      </c>
      <c r="O101" s="147">
        <f t="shared" ref="O101:O106" si="212">BE101</f>
        <v>0</v>
      </c>
      <c r="P101" s="147">
        <f>'2011'!AZ101+'2011'!BA101</f>
        <v>0</v>
      </c>
      <c r="Q101" s="147">
        <f>'2011'!AU101</f>
        <v>0</v>
      </c>
      <c r="R101" s="147">
        <f t="shared" ref="R101:R106" si="213">AT101+AX101</f>
        <v>0</v>
      </c>
      <c r="S101" s="147">
        <f t="shared" ref="S101:S106" si="214">AV101</f>
        <v>0</v>
      </c>
      <c r="T101" s="147">
        <f t="shared" ref="T101:U106" si="215">BB101</f>
        <v>0</v>
      </c>
      <c r="U101" s="145">
        <f t="shared" si="215"/>
        <v>0</v>
      </c>
      <c r="V101" s="147">
        <f t="shared" ref="V101:V106" si="216">BG101+BJ101</f>
        <v>0</v>
      </c>
      <c r="W101" s="147">
        <f t="shared" ref="W101:W106" si="217">BR101</f>
        <v>0</v>
      </c>
      <c r="X101" s="147">
        <f t="shared" ref="X101:X106" si="218">BH101+BI101</f>
        <v>0</v>
      </c>
      <c r="Y101" s="147">
        <f t="shared" ref="Y101:Y106" si="219">BK101+BL101+BN101</f>
        <v>0</v>
      </c>
      <c r="Z101" s="147">
        <f t="shared" ref="Z101:Z106" si="220">BM101</f>
        <v>0</v>
      </c>
      <c r="AA101" s="147">
        <f t="shared" ref="AA101:AA106" si="221">BO101+BQ101</f>
        <v>0</v>
      </c>
      <c r="AB101" s="145">
        <f t="shared" ref="AB101:AB106" si="222">BP101</f>
        <v>0</v>
      </c>
      <c r="AC101" s="147">
        <f t="shared" ref="AC101:AC106" si="223">BX101</f>
        <v>0</v>
      </c>
      <c r="AD101" s="147">
        <f t="shared" ref="AD101:AD106" si="224">BU101</f>
        <v>0</v>
      </c>
      <c r="AE101" s="147">
        <f t="shared" ref="AE101:AE106" si="225">BS101+BT101</f>
        <v>0</v>
      </c>
      <c r="AF101" s="147">
        <f t="shared" ref="AF101:AF106" si="226">CA101</f>
        <v>0</v>
      </c>
      <c r="AG101" s="147">
        <f t="shared" ref="AG101:AG106" si="227">BV101</f>
        <v>0</v>
      </c>
      <c r="AH101" s="147">
        <f t="shared" ref="AH101:AH106" si="228">BZ101</f>
        <v>0</v>
      </c>
      <c r="AI101" s="147">
        <f t="shared" ref="AI101:AI106" si="229">BW101</f>
        <v>0</v>
      </c>
      <c r="AJ101" s="147">
        <f t="shared" ref="AJ101:AJ106" si="230">BY101</f>
        <v>0</v>
      </c>
      <c r="AK101" s="145">
        <f t="shared" ref="AK101:AK106" si="231">CB101</f>
        <v>0</v>
      </c>
      <c r="AL101" s="147">
        <f t="shared" ref="AL101:AL106" si="232">CE101</f>
        <v>0</v>
      </c>
      <c r="AM101" s="147">
        <f t="shared" ref="AM101:AM106" si="233">CH101</f>
        <v>0</v>
      </c>
      <c r="AN101" s="147">
        <f t="shared" ref="AN101:AN106" si="234">CJ101</f>
        <v>0</v>
      </c>
      <c r="AO101" s="147">
        <f t="shared" ref="AO101:AP106" si="235">CC101</f>
        <v>0</v>
      </c>
      <c r="AP101" s="147">
        <f t="shared" si="235"/>
        <v>0</v>
      </c>
      <c r="AQ101" s="147">
        <f t="shared" ref="AQ101:AQ106" si="236">CK101</f>
        <v>0</v>
      </c>
      <c r="AR101" s="147">
        <f t="shared" ref="AR101:AR106" si="237">CI101</f>
        <v>0</v>
      </c>
      <c r="AS101" s="198">
        <f t="shared" ref="AS101:AS106" si="238">CF101+CG101</f>
        <v>0</v>
      </c>
      <c r="AT101" s="147"/>
      <c r="AU101" s="147"/>
      <c r="AV101" s="147"/>
      <c r="AW101" s="147"/>
      <c r="AX101" s="147"/>
      <c r="AY101" s="147"/>
      <c r="AZ101" s="147"/>
      <c r="BA101" s="147"/>
      <c r="BB101" s="147"/>
      <c r="BC101" s="147"/>
      <c r="BD101" s="147"/>
      <c r="BE101" s="147"/>
      <c r="BF101" s="145"/>
      <c r="BG101" s="199"/>
      <c r="BH101" s="147"/>
      <c r="BI101" s="147"/>
      <c r="BJ101" s="147"/>
      <c r="BK101" s="147"/>
      <c r="BL101" s="147"/>
      <c r="BM101" s="147"/>
      <c r="BN101" s="147"/>
      <c r="BO101" s="199"/>
      <c r="BP101" s="147"/>
      <c r="BQ101" s="147"/>
      <c r="BR101" s="145"/>
      <c r="BS101" s="199"/>
      <c r="BT101" s="147"/>
      <c r="BU101" s="147"/>
      <c r="BV101" s="147"/>
      <c r="BW101" s="147"/>
      <c r="BX101" s="147"/>
      <c r="BY101" s="147"/>
      <c r="BZ101" s="147"/>
      <c r="CA101" s="147"/>
      <c r="CB101" s="145"/>
      <c r="CC101" s="147"/>
      <c r="CD101" s="147"/>
      <c r="CE101" s="147"/>
      <c r="CF101" s="147"/>
      <c r="CG101" s="147"/>
      <c r="CH101" s="147"/>
      <c r="CI101" s="147"/>
      <c r="CJ101" s="147"/>
      <c r="CK101" s="198"/>
      <c r="CL101" s="163"/>
    </row>
    <row r="102" spans="1:90">
      <c r="A102" s="93">
        <f>ROWS($A$3:A100)</f>
        <v>98</v>
      </c>
      <c r="B102" s="63"/>
      <c r="C102" s="243"/>
      <c r="D102" s="319"/>
      <c r="E102" s="320"/>
      <c r="F102" s="194"/>
      <c r="G102" s="195"/>
      <c r="H102" s="195"/>
      <c r="I102" s="196"/>
      <c r="J102" s="348"/>
      <c r="K102" s="197">
        <f t="shared" si="208"/>
        <v>0</v>
      </c>
      <c r="L102" s="147">
        <f t="shared" si="209"/>
        <v>0</v>
      </c>
      <c r="M102" s="147">
        <f t="shared" si="210"/>
        <v>0</v>
      </c>
      <c r="N102" s="147">
        <f t="shared" si="211"/>
        <v>0</v>
      </c>
      <c r="O102" s="147">
        <f t="shared" si="212"/>
        <v>0</v>
      </c>
      <c r="P102" s="147">
        <f>'2011'!AZ102+'2011'!BA102</f>
        <v>0</v>
      </c>
      <c r="Q102" s="147">
        <f>'2011'!AU102</f>
        <v>0</v>
      </c>
      <c r="R102" s="147">
        <f t="shared" si="213"/>
        <v>0</v>
      </c>
      <c r="S102" s="147">
        <f t="shared" si="214"/>
        <v>0</v>
      </c>
      <c r="T102" s="147">
        <f t="shared" si="215"/>
        <v>0</v>
      </c>
      <c r="U102" s="145">
        <f t="shared" si="215"/>
        <v>0</v>
      </c>
      <c r="V102" s="147">
        <f t="shared" si="216"/>
        <v>0</v>
      </c>
      <c r="W102" s="147">
        <f t="shared" si="217"/>
        <v>0</v>
      </c>
      <c r="X102" s="147">
        <f t="shared" si="218"/>
        <v>0</v>
      </c>
      <c r="Y102" s="147">
        <f t="shared" si="219"/>
        <v>0</v>
      </c>
      <c r="Z102" s="147">
        <f t="shared" si="220"/>
        <v>0</v>
      </c>
      <c r="AA102" s="147">
        <f t="shared" si="221"/>
        <v>0</v>
      </c>
      <c r="AB102" s="145">
        <f t="shared" si="222"/>
        <v>0</v>
      </c>
      <c r="AC102" s="147">
        <f t="shared" si="223"/>
        <v>0</v>
      </c>
      <c r="AD102" s="147">
        <f t="shared" si="224"/>
        <v>0</v>
      </c>
      <c r="AE102" s="147">
        <f t="shared" si="225"/>
        <v>0</v>
      </c>
      <c r="AF102" s="147">
        <f t="shared" si="226"/>
        <v>0</v>
      </c>
      <c r="AG102" s="147">
        <f t="shared" si="227"/>
        <v>0</v>
      </c>
      <c r="AH102" s="147">
        <f t="shared" si="228"/>
        <v>0</v>
      </c>
      <c r="AI102" s="147">
        <f t="shared" si="229"/>
        <v>0</v>
      </c>
      <c r="AJ102" s="147">
        <f t="shared" si="230"/>
        <v>0</v>
      </c>
      <c r="AK102" s="145">
        <f t="shared" si="231"/>
        <v>0</v>
      </c>
      <c r="AL102" s="147">
        <f t="shared" si="232"/>
        <v>0</v>
      </c>
      <c r="AM102" s="147">
        <f t="shared" si="233"/>
        <v>0</v>
      </c>
      <c r="AN102" s="147">
        <f t="shared" si="234"/>
        <v>0</v>
      </c>
      <c r="AO102" s="147">
        <f t="shared" si="235"/>
        <v>0</v>
      </c>
      <c r="AP102" s="147">
        <f t="shared" si="235"/>
        <v>0</v>
      </c>
      <c r="AQ102" s="147">
        <f t="shared" si="236"/>
        <v>0</v>
      </c>
      <c r="AR102" s="147">
        <f t="shared" si="237"/>
        <v>0</v>
      </c>
      <c r="AS102" s="198">
        <f t="shared" si="238"/>
        <v>0</v>
      </c>
      <c r="AT102" s="147"/>
      <c r="AU102" s="147"/>
      <c r="AV102" s="147"/>
      <c r="AW102" s="147"/>
      <c r="AX102" s="147"/>
      <c r="AY102" s="147"/>
      <c r="AZ102" s="147"/>
      <c r="BA102" s="147"/>
      <c r="BB102" s="147"/>
      <c r="BC102" s="147"/>
      <c r="BD102" s="147"/>
      <c r="BE102" s="147"/>
      <c r="BF102" s="145"/>
      <c r="BG102" s="199"/>
      <c r="BH102" s="147"/>
      <c r="BI102" s="147"/>
      <c r="BJ102" s="147"/>
      <c r="BK102" s="147"/>
      <c r="BL102" s="147"/>
      <c r="BM102" s="147"/>
      <c r="BN102" s="147"/>
      <c r="BO102" s="199"/>
      <c r="BP102" s="147"/>
      <c r="BQ102" s="147"/>
      <c r="BR102" s="145"/>
      <c r="BS102" s="199"/>
      <c r="BT102" s="147"/>
      <c r="BU102" s="147"/>
      <c r="BV102" s="147"/>
      <c r="BW102" s="147"/>
      <c r="BX102" s="147"/>
      <c r="BY102" s="147"/>
      <c r="BZ102" s="147"/>
      <c r="CA102" s="147"/>
      <c r="CB102" s="145"/>
      <c r="CC102" s="147"/>
      <c r="CD102" s="147"/>
      <c r="CE102" s="147"/>
      <c r="CF102" s="147"/>
      <c r="CG102" s="147"/>
      <c r="CH102" s="147"/>
      <c r="CI102" s="147"/>
      <c r="CJ102" s="147"/>
      <c r="CK102" s="198"/>
      <c r="CL102" s="163"/>
    </row>
    <row r="103" spans="1:90">
      <c r="A103" s="93">
        <f>ROWS($A$3:A101)</f>
        <v>99</v>
      </c>
      <c r="B103" s="63"/>
      <c r="C103" s="243"/>
      <c r="D103" s="319"/>
      <c r="E103" s="320"/>
      <c r="F103" s="194"/>
      <c r="G103" s="195"/>
      <c r="H103" s="195"/>
      <c r="I103" s="196"/>
      <c r="J103" s="348"/>
      <c r="K103" s="197">
        <f t="shared" si="208"/>
        <v>0</v>
      </c>
      <c r="L103" s="147">
        <f t="shared" si="209"/>
        <v>0</v>
      </c>
      <c r="M103" s="147">
        <f t="shared" si="210"/>
        <v>0</v>
      </c>
      <c r="N103" s="147">
        <f t="shared" si="211"/>
        <v>0</v>
      </c>
      <c r="O103" s="147">
        <f t="shared" si="212"/>
        <v>0</v>
      </c>
      <c r="P103" s="147">
        <f>'2011'!AZ103+'2011'!BA103</f>
        <v>0</v>
      </c>
      <c r="Q103" s="147">
        <f>'2011'!AU103</f>
        <v>0</v>
      </c>
      <c r="R103" s="147">
        <f t="shared" si="213"/>
        <v>0</v>
      </c>
      <c r="S103" s="147">
        <f t="shared" si="214"/>
        <v>0</v>
      </c>
      <c r="T103" s="147">
        <f t="shared" si="215"/>
        <v>0</v>
      </c>
      <c r="U103" s="145">
        <f t="shared" si="215"/>
        <v>0</v>
      </c>
      <c r="V103" s="147">
        <f t="shared" si="216"/>
        <v>0</v>
      </c>
      <c r="W103" s="147">
        <f t="shared" si="217"/>
        <v>0</v>
      </c>
      <c r="X103" s="147">
        <f t="shared" si="218"/>
        <v>0</v>
      </c>
      <c r="Y103" s="147">
        <f t="shared" si="219"/>
        <v>0</v>
      </c>
      <c r="Z103" s="147">
        <f t="shared" si="220"/>
        <v>0</v>
      </c>
      <c r="AA103" s="147">
        <f t="shared" si="221"/>
        <v>0</v>
      </c>
      <c r="AB103" s="145">
        <f t="shared" si="222"/>
        <v>0</v>
      </c>
      <c r="AC103" s="147">
        <f t="shared" si="223"/>
        <v>0</v>
      </c>
      <c r="AD103" s="147">
        <f t="shared" si="224"/>
        <v>0</v>
      </c>
      <c r="AE103" s="147">
        <f t="shared" si="225"/>
        <v>0</v>
      </c>
      <c r="AF103" s="147">
        <f t="shared" si="226"/>
        <v>0</v>
      </c>
      <c r="AG103" s="147">
        <f t="shared" si="227"/>
        <v>0</v>
      </c>
      <c r="AH103" s="147">
        <f t="shared" si="228"/>
        <v>0</v>
      </c>
      <c r="AI103" s="147">
        <f t="shared" si="229"/>
        <v>0</v>
      </c>
      <c r="AJ103" s="147">
        <f t="shared" si="230"/>
        <v>0</v>
      </c>
      <c r="AK103" s="145">
        <f t="shared" si="231"/>
        <v>0</v>
      </c>
      <c r="AL103" s="147">
        <f t="shared" si="232"/>
        <v>0</v>
      </c>
      <c r="AM103" s="147">
        <f t="shared" si="233"/>
        <v>0</v>
      </c>
      <c r="AN103" s="147">
        <f t="shared" si="234"/>
        <v>0</v>
      </c>
      <c r="AO103" s="147">
        <f t="shared" si="235"/>
        <v>0</v>
      </c>
      <c r="AP103" s="147">
        <f t="shared" si="235"/>
        <v>0</v>
      </c>
      <c r="AQ103" s="147">
        <f t="shared" si="236"/>
        <v>0</v>
      </c>
      <c r="AR103" s="147">
        <f t="shared" si="237"/>
        <v>0</v>
      </c>
      <c r="AS103" s="198">
        <f t="shared" si="238"/>
        <v>0</v>
      </c>
      <c r="AT103" s="147"/>
      <c r="AU103" s="147"/>
      <c r="AV103" s="147"/>
      <c r="AW103" s="147"/>
      <c r="AX103" s="147"/>
      <c r="AY103" s="147"/>
      <c r="AZ103" s="147"/>
      <c r="BA103" s="147"/>
      <c r="BB103" s="147"/>
      <c r="BC103" s="147"/>
      <c r="BD103" s="147"/>
      <c r="BE103" s="147"/>
      <c r="BF103" s="145"/>
      <c r="BG103" s="199"/>
      <c r="BH103" s="147"/>
      <c r="BI103" s="147"/>
      <c r="BJ103" s="147"/>
      <c r="BK103" s="147"/>
      <c r="BL103" s="147"/>
      <c r="BM103" s="147"/>
      <c r="BN103" s="147"/>
      <c r="BO103" s="199"/>
      <c r="BP103" s="147"/>
      <c r="BQ103" s="147"/>
      <c r="BR103" s="145"/>
      <c r="BS103" s="199"/>
      <c r="BT103" s="147"/>
      <c r="BU103" s="147"/>
      <c r="BV103" s="147"/>
      <c r="BW103" s="147"/>
      <c r="BX103" s="147"/>
      <c r="BY103" s="147"/>
      <c r="BZ103" s="147"/>
      <c r="CA103" s="147"/>
      <c r="CB103" s="145"/>
      <c r="CC103" s="147"/>
      <c r="CD103" s="147"/>
      <c r="CE103" s="147"/>
      <c r="CF103" s="147"/>
      <c r="CG103" s="147"/>
      <c r="CH103" s="147"/>
      <c r="CI103" s="147"/>
      <c r="CJ103" s="147"/>
      <c r="CK103" s="198"/>
      <c r="CL103" s="163"/>
    </row>
    <row r="104" spans="1:90">
      <c r="A104" s="93">
        <f>ROWS($A$3:A102)</f>
        <v>100</v>
      </c>
      <c r="B104" s="63"/>
      <c r="C104" s="243"/>
      <c r="D104" s="319"/>
      <c r="E104" s="320"/>
      <c r="F104" s="194"/>
      <c r="G104" s="195"/>
      <c r="H104" s="195"/>
      <c r="I104" s="196"/>
      <c r="J104" s="348"/>
      <c r="K104" s="197">
        <f t="shared" si="208"/>
        <v>0</v>
      </c>
      <c r="L104" s="147">
        <f t="shared" si="209"/>
        <v>0</v>
      </c>
      <c r="M104" s="147">
        <f t="shared" si="210"/>
        <v>0</v>
      </c>
      <c r="N104" s="147">
        <f t="shared" si="211"/>
        <v>0</v>
      </c>
      <c r="O104" s="147">
        <f t="shared" si="212"/>
        <v>0</v>
      </c>
      <c r="P104" s="147">
        <f>'2011'!AZ104+'2011'!BA104</f>
        <v>0</v>
      </c>
      <c r="Q104" s="147">
        <f>'2011'!AU104</f>
        <v>0</v>
      </c>
      <c r="R104" s="147">
        <f t="shared" si="213"/>
        <v>0</v>
      </c>
      <c r="S104" s="147">
        <f t="shared" si="214"/>
        <v>0</v>
      </c>
      <c r="T104" s="147">
        <f t="shared" si="215"/>
        <v>0</v>
      </c>
      <c r="U104" s="145">
        <f t="shared" si="215"/>
        <v>0</v>
      </c>
      <c r="V104" s="147">
        <f t="shared" si="216"/>
        <v>0</v>
      </c>
      <c r="W104" s="147">
        <f t="shared" si="217"/>
        <v>0</v>
      </c>
      <c r="X104" s="147">
        <f t="shared" si="218"/>
        <v>0</v>
      </c>
      <c r="Y104" s="147">
        <f t="shared" si="219"/>
        <v>0</v>
      </c>
      <c r="Z104" s="147">
        <f t="shared" si="220"/>
        <v>0</v>
      </c>
      <c r="AA104" s="147">
        <f t="shared" si="221"/>
        <v>0</v>
      </c>
      <c r="AB104" s="145">
        <f t="shared" si="222"/>
        <v>0</v>
      </c>
      <c r="AC104" s="147">
        <f t="shared" si="223"/>
        <v>0</v>
      </c>
      <c r="AD104" s="147">
        <f t="shared" si="224"/>
        <v>0</v>
      </c>
      <c r="AE104" s="147">
        <f t="shared" si="225"/>
        <v>0</v>
      </c>
      <c r="AF104" s="147">
        <f t="shared" si="226"/>
        <v>0</v>
      </c>
      <c r="AG104" s="147">
        <f t="shared" si="227"/>
        <v>0</v>
      </c>
      <c r="AH104" s="147">
        <f t="shared" si="228"/>
        <v>0</v>
      </c>
      <c r="AI104" s="147">
        <f t="shared" si="229"/>
        <v>0</v>
      </c>
      <c r="AJ104" s="147">
        <f t="shared" si="230"/>
        <v>0</v>
      </c>
      <c r="AK104" s="145">
        <f t="shared" si="231"/>
        <v>0</v>
      </c>
      <c r="AL104" s="147">
        <f t="shared" si="232"/>
        <v>0</v>
      </c>
      <c r="AM104" s="147">
        <f t="shared" si="233"/>
        <v>0</v>
      </c>
      <c r="AN104" s="147">
        <f t="shared" si="234"/>
        <v>0</v>
      </c>
      <c r="AO104" s="147">
        <f t="shared" si="235"/>
        <v>0</v>
      </c>
      <c r="AP104" s="147">
        <f t="shared" si="235"/>
        <v>0</v>
      </c>
      <c r="AQ104" s="147">
        <f t="shared" si="236"/>
        <v>0</v>
      </c>
      <c r="AR104" s="147">
        <f t="shared" si="237"/>
        <v>0</v>
      </c>
      <c r="AS104" s="198">
        <f t="shared" si="238"/>
        <v>0</v>
      </c>
      <c r="AT104" s="147"/>
      <c r="AU104" s="147"/>
      <c r="AV104" s="147"/>
      <c r="AW104" s="147"/>
      <c r="AX104" s="147"/>
      <c r="AY104" s="147"/>
      <c r="AZ104" s="147"/>
      <c r="BA104" s="147"/>
      <c r="BB104" s="147"/>
      <c r="BC104" s="147"/>
      <c r="BD104" s="147"/>
      <c r="BE104" s="147"/>
      <c r="BF104" s="145"/>
      <c r="BG104" s="199"/>
      <c r="BH104" s="147"/>
      <c r="BI104" s="147"/>
      <c r="BJ104" s="147"/>
      <c r="BK104" s="147"/>
      <c r="BL104" s="147"/>
      <c r="BM104" s="147"/>
      <c r="BN104" s="147"/>
      <c r="BO104" s="199"/>
      <c r="BP104" s="147"/>
      <c r="BQ104" s="147"/>
      <c r="BR104" s="145"/>
      <c r="BS104" s="199"/>
      <c r="BT104" s="147"/>
      <c r="BU104" s="147"/>
      <c r="BV104" s="147"/>
      <c r="BW104" s="147"/>
      <c r="BX104" s="147"/>
      <c r="BY104" s="147"/>
      <c r="BZ104" s="147"/>
      <c r="CA104" s="147"/>
      <c r="CB104" s="145"/>
      <c r="CC104" s="147"/>
      <c r="CD104" s="147"/>
      <c r="CE104" s="147"/>
      <c r="CF104" s="147"/>
      <c r="CG104" s="147"/>
      <c r="CH104" s="147"/>
      <c r="CI104" s="147"/>
      <c r="CJ104" s="147"/>
      <c r="CK104" s="198"/>
      <c r="CL104" s="163"/>
    </row>
    <row r="105" spans="1:90">
      <c r="A105" s="93">
        <f>ROWS($A$3:A103)</f>
        <v>101</v>
      </c>
      <c r="B105" s="63"/>
      <c r="C105" s="243"/>
      <c r="D105" s="319"/>
      <c r="E105" s="320"/>
      <c r="F105" s="194"/>
      <c r="G105" s="195"/>
      <c r="H105" s="195"/>
      <c r="I105" s="196"/>
      <c r="J105" s="348"/>
      <c r="K105" s="197">
        <f t="shared" si="208"/>
        <v>0</v>
      </c>
      <c r="L105" s="147">
        <f t="shared" si="209"/>
        <v>0</v>
      </c>
      <c r="M105" s="147">
        <f t="shared" si="210"/>
        <v>0</v>
      </c>
      <c r="N105" s="147">
        <f t="shared" si="211"/>
        <v>0</v>
      </c>
      <c r="O105" s="147">
        <f t="shared" si="212"/>
        <v>0</v>
      </c>
      <c r="P105" s="147">
        <f>'2011'!AZ105+'2011'!BA105</f>
        <v>0</v>
      </c>
      <c r="Q105" s="147">
        <f>'2011'!AU105</f>
        <v>0</v>
      </c>
      <c r="R105" s="147">
        <f t="shared" si="213"/>
        <v>0</v>
      </c>
      <c r="S105" s="147">
        <f t="shared" si="214"/>
        <v>0</v>
      </c>
      <c r="T105" s="147">
        <f t="shared" si="215"/>
        <v>0</v>
      </c>
      <c r="U105" s="145">
        <f t="shared" si="215"/>
        <v>0</v>
      </c>
      <c r="V105" s="147">
        <f t="shared" si="216"/>
        <v>0</v>
      </c>
      <c r="W105" s="147">
        <f t="shared" si="217"/>
        <v>0</v>
      </c>
      <c r="X105" s="147">
        <f t="shared" si="218"/>
        <v>0</v>
      </c>
      <c r="Y105" s="147">
        <f t="shared" si="219"/>
        <v>0</v>
      </c>
      <c r="Z105" s="147">
        <f t="shared" si="220"/>
        <v>0</v>
      </c>
      <c r="AA105" s="147">
        <f t="shared" si="221"/>
        <v>0</v>
      </c>
      <c r="AB105" s="145">
        <f t="shared" si="222"/>
        <v>0</v>
      </c>
      <c r="AC105" s="147">
        <f t="shared" si="223"/>
        <v>0</v>
      </c>
      <c r="AD105" s="147">
        <f t="shared" si="224"/>
        <v>0</v>
      </c>
      <c r="AE105" s="147">
        <f t="shared" si="225"/>
        <v>0</v>
      </c>
      <c r="AF105" s="147">
        <f t="shared" si="226"/>
        <v>0</v>
      </c>
      <c r="AG105" s="147">
        <f t="shared" si="227"/>
        <v>0</v>
      </c>
      <c r="AH105" s="147">
        <f t="shared" si="228"/>
        <v>0</v>
      </c>
      <c r="AI105" s="147">
        <f t="shared" si="229"/>
        <v>0</v>
      </c>
      <c r="AJ105" s="147">
        <f t="shared" si="230"/>
        <v>0</v>
      </c>
      <c r="AK105" s="145">
        <f t="shared" si="231"/>
        <v>0</v>
      </c>
      <c r="AL105" s="147">
        <f t="shared" si="232"/>
        <v>0</v>
      </c>
      <c r="AM105" s="147">
        <f t="shared" si="233"/>
        <v>0</v>
      </c>
      <c r="AN105" s="147">
        <f t="shared" si="234"/>
        <v>0</v>
      </c>
      <c r="AO105" s="147">
        <f t="shared" si="235"/>
        <v>0</v>
      </c>
      <c r="AP105" s="147">
        <f t="shared" si="235"/>
        <v>0</v>
      </c>
      <c r="AQ105" s="147">
        <f t="shared" si="236"/>
        <v>0</v>
      </c>
      <c r="AR105" s="147">
        <f t="shared" si="237"/>
        <v>0</v>
      </c>
      <c r="AS105" s="198">
        <f t="shared" si="238"/>
        <v>0</v>
      </c>
      <c r="AT105" s="147"/>
      <c r="AU105" s="147"/>
      <c r="AV105" s="147"/>
      <c r="AW105" s="147"/>
      <c r="AX105" s="147"/>
      <c r="AY105" s="147"/>
      <c r="AZ105" s="147"/>
      <c r="BA105" s="147"/>
      <c r="BB105" s="147"/>
      <c r="BC105" s="147"/>
      <c r="BD105" s="147"/>
      <c r="BE105" s="147"/>
      <c r="BF105" s="145"/>
      <c r="BG105" s="199"/>
      <c r="BH105" s="147"/>
      <c r="BI105" s="147"/>
      <c r="BJ105" s="147"/>
      <c r="BK105" s="147"/>
      <c r="BL105" s="147"/>
      <c r="BM105" s="147"/>
      <c r="BN105" s="147"/>
      <c r="BO105" s="199"/>
      <c r="BP105" s="147"/>
      <c r="BQ105" s="147"/>
      <c r="BR105" s="145"/>
      <c r="BS105" s="199"/>
      <c r="BT105" s="147"/>
      <c r="BU105" s="147"/>
      <c r="BV105" s="147"/>
      <c r="BW105" s="147"/>
      <c r="BX105" s="147"/>
      <c r="BY105" s="147"/>
      <c r="BZ105" s="147"/>
      <c r="CA105" s="147"/>
      <c r="CB105" s="145"/>
      <c r="CC105" s="147"/>
      <c r="CD105" s="147"/>
      <c r="CE105" s="147"/>
      <c r="CF105" s="147"/>
      <c r="CG105" s="147"/>
      <c r="CH105" s="147"/>
      <c r="CI105" s="147"/>
      <c r="CJ105" s="147"/>
      <c r="CK105" s="198"/>
      <c r="CL105" s="163"/>
    </row>
    <row r="106" spans="1:90" ht="13.5" thickBot="1">
      <c r="A106" s="93">
        <f>ROWS($A$3:A104)</f>
        <v>102</v>
      </c>
      <c r="B106" s="64"/>
      <c r="C106" s="246"/>
      <c r="D106" s="328"/>
      <c r="E106" s="329"/>
      <c r="F106" s="200"/>
      <c r="G106" s="201"/>
      <c r="H106" s="201"/>
      <c r="I106" s="202"/>
      <c r="J106" s="349"/>
      <c r="K106" s="203">
        <f t="shared" si="208"/>
        <v>0</v>
      </c>
      <c r="L106" s="204">
        <f t="shared" si="209"/>
        <v>0</v>
      </c>
      <c r="M106" s="204">
        <f t="shared" si="210"/>
        <v>0</v>
      </c>
      <c r="N106" s="204">
        <f t="shared" si="211"/>
        <v>0</v>
      </c>
      <c r="O106" s="204">
        <f t="shared" si="212"/>
        <v>0</v>
      </c>
      <c r="P106" s="204">
        <f>'2011'!AZ106+'2011'!BA106</f>
        <v>0</v>
      </c>
      <c r="Q106" s="204">
        <f>'2011'!AU106</f>
        <v>0</v>
      </c>
      <c r="R106" s="204">
        <f t="shared" si="213"/>
        <v>0</v>
      </c>
      <c r="S106" s="204">
        <f t="shared" si="214"/>
        <v>0</v>
      </c>
      <c r="T106" s="204">
        <f t="shared" si="215"/>
        <v>0</v>
      </c>
      <c r="U106" s="149">
        <f t="shared" si="215"/>
        <v>0</v>
      </c>
      <c r="V106" s="204">
        <f t="shared" si="216"/>
        <v>0</v>
      </c>
      <c r="W106" s="204">
        <f t="shared" si="217"/>
        <v>0</v>
      </c>
      <c r="X106" s="204">
        <f t="shared" si="218"/>
        <v>0</v>
      </c>
      <c r="Y106" s="204">
        <f t="shared" si="219"/>
        <v>0</v>
      </c>
      <c r="Z106" s="204">
        <f t="shared" si="220"/>
        <v>0</v>
      </c>
      <c r="AA106" s="204">
        <f t="shared" si="221"/>
        <v>0</v>
      </c>
      <c r="AB106" s="149">
        <f t="shared" si="222"/>
        <v>0</v>
      </c>
      <c r="AC106" s="204">
        <f t="shared" si="223"/>
        <v>0</v>
      </c>
      <c r="AD106" s="204">
        <f t="shared" si="224"/>
        <v>0</v>
      </c>
      <c r="AE106" s="204">
        <f t="shared" si="225"/>
        <v>0</v>
      </c>
      <c r="AF106" s="204">
        <f t="shared" si="226"/>
        <v>0</v>
      </c>
      <c r="AG106" s="204">
        <f t="shared" si="227"/>
        <v>0</v>
      </c>
      <c r="AH106" s="204">
        <f t="shared" si="228"/>
        <v>0</v>
      </c>
      <c r="AI106" s="204">
        <f t="shared" si="229"/>
        <v>0</v>
      </c>
      <c r="AJ106" s="204">
        <f t="shared" si="230"/>
        <v>0</v>
      </c>
      <c r="AK106" s="149">
        <f t="shared" si="231"/>
        <v>0</v>
      </c>
      <c r="AL106" s="204">
        <f t="shared" si="232"/>
        <v>0</v>
      </c>
      <c r="AM106" s="204">
        <f t="shared" si="233"/>
        <v>0</v>
      </c>
      <c r="AN106" s="204">
        <f t="shared" si="234"/>
        <v>0</v>
      </c>
      <c r="AO106" s="204">
        <f t="shared" si="235"/>
        <v>0</v>
      </c>
      <c r="AP106" s="204">
        <f t="shared" si="235"/>
        <v>0</v>
      </c>
      <c r="AQ106" s="204">
        <f t="shared" si="236"/>
        <v>0</v>
      </c>
      <c r="AR106" s="204">
        <f t="shared" si="237"/>
        <v>0</v>
      </c>
      <c r="AS106" s="205">
        <f t="shared" si="238"/>
        <v>0</v>
      </c>
      <c r="AT106" s="204"/>
      <c r="AU106" s="204"/>
      <c r="AV106" s="204"/>
      <c r="AW106" s="204"/>
      <c r="AX106" s="204"/>
      <c r="AY106" s="204"/>
      <c r="AZ106" s="204"/>
      <c r="BA106" s="204"/>
      <c r="BB106" s="204"/>
      <c r="BC106" s="204"/>
      <c r="BD106" s="204"/>
      <c r="BE106" s="204"/>
      <c r="BF106" s="149"/>
      <c r="BG106" s="206"/>
      <c r="BH106" s="204"/>
      <c r="BI106" s="204"/>
      <c r="BJ106" s="204"/>
      <c r="BK106" s="204"/>
      <c r="BL106" s="204"/>
      <c r="BM106" s="204"/>
      <c r="BN106" s="204"/>
      <c r="BO106" s="206"/>
      <c r="BP106" s="204"/>
      <c r="BQ106" s="204"/>
      <c r="BR106" s="149"/>
      <c r="BS106" s="206"/>
      <c r="BT106" s="204"/>
      <c r="BU106" s="204"/>
      <c r="BV106" s="204"/>
      <c r="BW106" s="204"/>
      <c r="BX106" s="204"/>
      <c r="BY106" s="204"/>
      <c r="BZ106" s="204"/>
      <c r="CA106" s="204"/>
      <c r="CB106" s="149"/>
      <c r="CC106" s="204"/>
      <c r="CD106" s="204"/>
      <c r="CE106" s="204"/>
      <c r="CF106" s="204"/>
      <c r="CG106" s="204"/>
      <c r="CH106" s="204"/>
      <c r="CI106" s="204"/>
      <c r="CJ106" s="204"/>
      <c r="CK106" s="205"/>
      <c r="CL106" s="164"/>
    </row>
    <row r="107" spans="1:90">
      <c r="B107" s="65"/>
      <c r="C107" s="243"/>
      <c r="D107" s="55"/>
      <c r="E107" s="80"/>
      <c r="F107" s="195">
        <f t="shared" ref="F107:BQ107" si="239">SUM(F7:F92)</f>
        <v>13300940.315613449</v>
      </c>
      <c r="G107" s="195">
        <f t="shared" si="239"/>
        <v>7202477.6235484686</v>
      </c>
      <c r="H107" s="195">
        <f t="shared" si="239"/>
        <v>8132597.0112878047</v>
      </c>
      <c r="I107" s="195">
        <f t="shared" si="239"/>
        <v>9260369.8254964501</v>
      </c>
      <c r="J107" s="195">
        <f t="shared" si="239"/>
        <v>0</v>
      </c>
      <c r="K107" s="195">
        <f t="shared" si="239"/>
        <v>1602638.6016869913</v>
      </c>
      <c r="L107" s="195">
        <f t="shared" si="239"/>
        <v>1062445.2430837648</v>
      </c>
      <c r="M107" s="195">
        <f t="shared" si="239"/>
        <v>1090787.0724815289</v>
      </c>
      <c r="N107" s="195">
        <f t="shared" si="239"/>
        <v>847666.95648671628</v>
      </c>
      <c r="O107" s="195">
        <f t="shared" si="239"/>
        <v>667340.17158127157</v>
      </c>
      <c r="P107" s="195">
        <f t="shared" si="239"/>
        <v>1330974.6094080708</v>
      </c>
      <c r="Q107" s="195">
        <f t="shared" si="239"/>
        <v>951223.33578589163</v>
      </c>
      <c r="R107" s="195">
        <f t="shared" si="239"/>
        <v>2341747.7546719359</v>
      </c>
      <c r="S107" s="195">
        <f t="shared" si="239"/>
        <v>1128321.1608961793</v>
      </c>
      <c r="T107" s="195">
        <f t="shared" si="239"/>
        <v>837991.030998462</v>
      </c>
      <c r="U107" s="195">
        <f t="shared" si="239"/>
        <v>1762224.6920709789</v>
      </c>
      <c r="V107" s="195">
        <f t="shared" si="239"/>
        <v>779249.12190828496</v>
      </c>
      <c r="W107" s="195">
        <f t="shared" si="239"/>
        <v>566914.37642853358</v>
      </c>
      <c r="X107" s="195">
        <f t="shared" si="239"/>
        <v>1675770.8667210164</v>
      </c>
      <c r="Y107" s="195">
        <f t="shared" si="239"/>
        <v>2163019.6090347362</v>
      </c>
      <c r="Z107" s="195">
        <f t="shared" si="239"/>
        <v>820048.5094805531</v>
      </c>
      <c r="AA107" s="195">
        <f t="shared" si="239"/>
        <v>801425.43018117989</v>
      </c>
      <c r="AB107" s="195">
        <f t="shared" si="239"/>
        <v>579294.50465097558</v>
      </c>
      <c r="AC107" s="195">
        <f t="shared" si="239"/>
        <v>936436.18299182504</v>
      </c>
      <c r="AD107" s="195">
        <f t="shared" si="239"/>
        <v>582890.01714166161</v>
      </c>
      <c r="AE107" s="195">
        <f t="shared" si="239"/>
        <v>1503632.2516537444</v>
      </c>
      <c r="AF107" s="195">
        <f t="shared" si="239"/>
        <v>715955.06289225654</v>
      </c>
      <c r="AG107" s="195">
        <f t="shared" si="239"/>
        <v>1494765.1795579558</v>
      </c>
      <c r="AH107" s="195">
        <f t="shared" si="239"/>
        <v>915515.47365201649</v>
      </c>
      <c r="AI107" s="195">
        <f t="shared" si="239"/>
        <v>663896.70236140373</v>
      </c>
      <c r="AJ107" s="195">
        <f t="shared" si="239"/>
        <v>605968.65022825578</v>
      </c>
      <c r="AK107" s="195">
        <f t="shared" si="239"/>
        <v>877895.80032291508</v>
      </c>
      <c r="AL107" s="195">
        <f t="shared" si="239"/>
        <v>777076.11292539525</v>
      </c>
      <c r="AM107" s="195">
        <f t="shared" si="239"/>
        <v>1432355.0544586221</v>
      </c>
      <c r="AN107" s="195">
        <f t="shared" si="239"/>
        <v>1903584.8377999128</v>
      </c>
      <c r="AO107" s="195">
        <f t="shared" si="239"/>
        <v>1135339.0244276465</v>
      </c>
      <c r="AP107" s="195">
        <f t="shared" si="239"/>
        <v>627760.92537101184</v>
      </c>
      <c r="AQ107" s="195">
        <f t="shared" si="239"/>
        <v>1010375.5992007565</v>
      </c>
      <c r="AR107" s="195">
        <f t="shared" si="239"/>
        <v>758803.56050094357</v>
      </c>
      <c r="AS107" s="195">
        <f t="shared" si="239"/>
        <v>1783826.5239173656</v>
      </c>
      <c r="AT107" s="195">
        <f t="shared" si="239"/>
        <v>1241843.5430595854</v>
      </c>
      <c r="AU107" s="195">
        <f t="shared" si="239"/>
        <v>956348.33578589163</v>
      </c>
      <c r="AV107" s="195">
        <f t="shared" si="239"/>
        <v>1128321.1608961793</v>
      </c>
      <c r="AW107" s="195">
        <f t="shared" si="239"/>
        <v>847666.95648671628</v>
      </c>
      <c r="AX107" s="195">
        <f t="shared" si="239"/>
        <v>1197583.4171327152</v>
      </c>
      <c r="AY107" s="195">
        <f t="shared" si="239"/>
        <v>1062445.2430837648</v>
      </c>
      <c r="AZ107" s="195">
        <f t="shared" si="239"/>
        <v>301391.11943178199</v>
      </c>
      <c r="BA107" s="195">
        <f t="shared" si="239"/>
        <v>1070187.5001116251</v>
      </c>
      <c r="BB107" s="195">
        <f t="shared" si="239"/>
        <v>837991.030998462</v>
      </c>
      <c r="BC107" s="195">
        <f t="shared" si="239"/>
        <v>1762224.6920709789</v>
      </c>
      <c r="BD107" s="195">
        <f t="shared" si="239"/>
        <v>1090787.0724815289</v>
      </c>
      <c r="BE107" s="195">
        <f t="shared" si="239"/>
        <v>667340.17158127157</v>
      </c>
      <c r="BF107" s="195">
        <f t="shared" si="239"/>
        <v>1602638.6016869913</v>
      </c>
      <c r="BG107" s="195">
        <f t="shared" si="239"/>
        <v>156435.07032651742</v>
      </c>
      <c r="BH107" s="195">
        <f t="shared" si="239"/>
        <v>613689.52553260478</v>
      </c>
      <c r="BI107" s="195">
        <f t="shared" si="239"/>
        <v>1101337.0601555249</v>
      </c>
      <c r="BJ107" s="195">
        <f t="shared" si="239"/>
        <v>639440.35199744871</v>
      </c>
      <c r="BK107" s="195">
        <f t="shared" si="239"/>
        <v>416268.33249386394</v>
      </c>
      <c r="BL107" s="195">
        <f t="shared" si="239"/>
        <v>579879.6408856248</v>
      </c>
      <c r="BM107" s="195">
        <f t="shared" si="239"/>
        <v>820048.5094805531</v>
      </c>
      <c r="BN107" s="195">
        <f t="shared" si="239"/>
        <v>1278359.3961241778</v>
      </c>
      <c r="BO107" s="195">
        <f t="shared" si="239"/>
        <v>285105.59072643251</v>
      </c>
      <c r="BP107" s="195">
        <f t="shared" si="239"/>
        <v>579294.50465097558</v>
      </c>
      <c r="BQ107" s="195">
        <f t="shared" si="239"/>
        <v>581927.15568319033</v>
      </c>
      <c r="BR107" s="195">
        <f t="shared" ref="BR107:CL107" si="240">SUM(BR7:BR92)</f>
        <v>566914.37642853358</v>
      </c>
      <c r="BS107" s="195">
        <f t="shared" si="240"/>
        <v>463781.72651180672</v>
      </c>
      <c r="BT107" s="195">
        <f t="shared" si="240"/>
        <v>1070233.7414566001</v>
      </c>
      <c r="BU107" s="195">
        <f t="shared" si="240"/>
        <v>582890.01714166161</v>
      </c>
      <c r="BV107" s="195">
        <f t="shared" si="240"/>
        <v>1494765.1795579558</v>
      </c>
      <c r="BW107" s="195">
        <f t="shared" si="240"/>
        <v>663896.70236140373</v>
      </c>
      <c r="BX107" s="195">
        <f t="shared" si="240"/>
        <v>936436.18299182504</v>
      </c>
      <c r="BY107" s="195">
        <f t="shared" si="240"/>
        <v>605968.65022825578</v>
      </c>
      <c r="BZ107" s="195">
        <f t="shared" si="240"/>
        <v>915515.47365201649</v>
      </c>
      <c r="CA107" s="195">
        <f t="shared" si="240"/>
        <v>715955.06289225654</v>
      </c>
      <c r="CB107" s="195">
        <f t="shared" si="240"/>
        <v>877895.80032291508</v>
      </c>
      <c r="CC107" s="195">
        <f t="shared" si="240"/>
        <v>1135339.0244276465</v>
      </c>
      <c r="CD107" s="195">
        <f t="shared" si="240"/>
        <v>627760.92537101184</v>
      </c>
      <c r="CE107" s="195">
        <f t="shared" si="240"/>
        <v>777076.11292539525</v>
      </c>
      <c r="CF107" s="195">
        <f t="shared" si="240"/>
        <v>353924.75104145997</v>
      </c>
      <c r="CG107" s="195">
        <f t="shared" si="240"/>
        <v>1479286.3785133068</v>
      </c>
      <c r="CH107" s="195">
        <f t="shared" si="240"/>
        <v>1432355.0544586221</v>
      </c>
      <c r="CI107" s="195">
        <f t="shared" si="240"/>
        <v>758803.56050094357</v>
      </c>
      <c r="CJ107" s="195">
        <f t="shared" si="240"/>
        <v>1903584.8377999128</v>
      </c>
      <c r="CK107" s="195">
        <f t="shared" si="240"/>
        <v>1010375.5992007565</v>
      </c>
      <c r="CL107" s="195">
        <f t="shared" si="240"/>
        <v>37844204.658139236</v>
      </c>
    </row>
    <row r="108" spans="1:90">
      <c r="B108" s="83" t="s">
        <v>225</v>
      </c>
    </row>
    <row r="109" spans="1:90">
      <c r="B109" s="85" t="s">
        <v>220</v>
      </c>
    </row>
    <row r="110" spans="1:90">
      <c r="B110" s="85" t="s">
        <v>221</v>
      </c>
    </row>
    <row r="111" spans="1:90">
      <c r="B111" s="85" t="s">
        <v>222</v>
      </c>
    </row>
    <row r="112" spans="1:90">
      <c r="B112" s="84"/>
    </row>
    <row r="113" spans="1:90">
      <c r="B113" s="85" t="s">
        <v>83</v>
      </c>
    </row>
    <row r="114" spans="1:90">
      <c r="B114" s="85" t="s">
        <v>223</v>
      </c>
    </row>
    <row r="115" spans="1:90">
      <c r="B115" s="85" t="s">
        <v>228</v>
      </c>
    </row>
    <row r="117" spans="1:90" s="80" customFormat="1" ht="11.25">
      <c r="A117" s="413"/>
      <c r="B117" s="414" t="s">
        <v>66</v>
      </c>
      <c r="C117" s="406"/>
      <c r="D117" s="415" t="s">
        <v>12</v>
      </c>
      <c r="E117" s="416"/>
      <c r="F117" s="407"/>
      <c r="G117" s="407"/>
      <c r="H117" s="407"/>
      <c r="I117" s="407"/>
      <c r="J117" s="408"/>
      <c r="K117" s="407">
        <f>BF117</f>
        <v>3500</v>
      </c>
      <c r="L117" s="407">
        <f>AY117</f>
        <v>3600</v>
      </c>
      <c r="M117" s="407">
        <f>BD117</f>
        <v>2600</v>
      </c>
      <c r="N117" s="407">
        <f>AW117</f>
        <v>1600</v>
      </c>
      <c r="O117" s="407">
        <f>BE117</f>
        <v>1100</v>
      </c>
      <c r="P117" s="407">
        <f>'2011'!AZ117+'2011'!BA117</f>
        <v>5400</v>
      </c>
      <c r="Q117" s="407">
        <f>'2011'!AU117</f>
        <v>1900</v>
      </c>
      <c r="R117" s="407">
        <f>AT117+AX117</f>
        <v>6400</v>
      </c>
      <c r="S117" s="407">
        <f>AV117</f>
        <v>2600</v>
      </c>
      <c r="T117" s="407">
        <f>BB117</f>
        <v>2400</v>
      </c>
      <c r="U117" s="407">
        <f>BC117</f>
        <v>3600</v>
      </c>
      <c r="V117" s="407">
        <f>BG117+BJ117</f>
        <v>2300</v>
      </c>
      <c r="W117" s="407">
        <f>BR117</f>
        <v>1200</v>
      </c>
      <c r="X117" s="407">
        <f>BH117+BI117</f>
        <v>3100</v>
      </c>
      <c r="Y117" s="407">
        <f>BK117+BL117+BN117</f>
        <v>4200</v>
      </c>
      <c r="Z117" s="407">
        <f>BM117</f>
        <v>1700</v>
      </c>
      <c r="AA117" s="407">
        <f>BO117+BQ117</f>
        <v>1500</v>
      </c>
      <c r="AB117" s="407">
        <f>BP117</f>
        <v>1300</v>
      </c>
      <c r="AC117" s="407">
        <f>BX117</f>
        <v>1900</v>
      </c>
      <c r="AD117" s="407">
        <f>BU117</f>
        <v>2900</v>
      </c>
      <c r="AE117" s="407">
        <f>BS117+BT117</f>
        <v>6000</v>
      </c>
      <c r="AF117" s="407">
        <f>CA117</f>
        <v>2200</v>
      </c>
      <c r="AG117" s="407">
        <f>BV117</f>
        <v>7000</v>
      </c>
      <c r="AH117" s="407">
        <f>BZ117</f>
        <v>2800</v>
      </c>
      <c r="AI117" s="407">
        <f>BW117</f>
        <v>1500</v>
      </c>
      <c r="AJ117" s="407">
        <f>BY117</f>
        <v>900</v>
      </c>
      <c r="AK117" s="407">
        <f>CB117</f>
        <v>2200</v>
      </c>
      <c r="AL117" s="407">
        <f>CE117</f>
        <v>1600</v>
      </c>
      <c r="AM117" s="407">
        <f>CH117</f>
        <v>3300</v>
      </c>
      <c r="AN117" s="407">
        <f>CJ117</f>
        <v>4800</v>
      </c>
      <c r="AO117" s="407">
        <f>CC117</f>
        <v>2600</v>
      </c>
      <c r="AP117" s="407">
        <f>CD117</f>
        <v>1100</v>
      </c>
      <c r="AQ117" s="407">
        <f>CK117</f>
        <v>2400</v>
      </c>
      <c r="AR117" s="407">
        <f>CI117</f>
        <v>3600</v>
      </c>
      <c r="AS117" s="407">
        <f>CF117+CG117</f>
        <v>3400</v>
      </c>
      <c r="AT117" s="408">
        <v>1700</v>
      </c>
      <c r="AU117" s="408">
        <v>1900</v>
      </c>
      <c r="AV117" s="408">
        <v>2600</v>
      </c>
      <c r="AW117" s="408">
        <v>1600</v>
      </c>
      <c r="AX117" s="408">
        <v>4700</v>
      </c>
      <c r="AY117" s="407">
        <v>3600</v>
      </c>
      <c r="AZ117" s="407">
        <v>600</v>
      </c>
      <c r="BA117" s="407">
        <v>4800</v>
      </c>
      <c r="BB117" s="407">
        <v>2400</v>
      </c>
      <c r="BC117" s="407">
        <v>3600</v>
      </c>
      <c r="BD117" s="407">
        <v>2600</v>
      </c>
      <c r="BE117" s="407">
        <v>1100</v>
      </c>
      <c r="BF117" s="407">
        <v>3500</v>
      </c>
      <c r="BG117" s="407">
        <v>500</v>
      </c>
      <c r="BH117" s="407">
        <v>500</v>
      </c>
      <c r="BI117" s="407">
        <v>2600</v>
      </c>
      <c r="BJ117" s="407">
        <v>1800</v>
      </c>
      <c r="BK117" s="407">
        <v>500</v>
      </c>
      <c r="BL117" s="407">
        <v>800</v>
      </c>
      <c r="BM117" s="407">
        <v>1700</v>
      </c>
      <c r="BN117" s="407">
        <v>2900</v>
      </c>
      <c r="BO117" s="407">
        <v>300</v>
      </c>
      <c r="BP117" s="407">
        <v>1300</v>
      </c>
      <c r="BQ117" s="407">
        <v>1200</v>
      </c>
      <c r="BR117" s="407">
        <v>1200</v>
      </c>
      <c r="BS117" s="407">
        <v>700</v>
      </c>
      <c r="BT117" s="407">
        <v>5300</v>
      </c>
      <c r="BU117" s="407">
        <v>2900</v>
      </c>
      <c r="BV117" s="407">
        <v>7000</v>
      </c>
      <c r="BW117" s="407">
        <v>1500</v>
      </c>
      <c r="BX117" s="407">
        <v>1900</v>
      </c>
      <c r="BY117" s="407">
        <v>900</v>
      </c>
      <c r="BZ117" s="407">
        <v>2800</v>
      </c>
      <c r="CA117" s="407">
        <v>2200</v>
      </c>
      <c r="CB117" s="407">
        <v>2200</v>
      </c>
      <c r="CC117" s="407">
        <v>2600</v>
      </c>
      <c r="CD117" s="407">
        <v>1100</v>
      </c>
      <c r="CE117" s="407">
        <v>1600</v>
      </c>
      <c r="CF117" s="407">
        <v>400</v>
      </c>
      <c r="CG117" s="407">
        <v>3000</v>
      </c>
      <c r="CH117" s="407">
        <v>3300</v>
      </c>
      <c r="CI117" s="407">
        <v>3600</v>
      </c>
      <c r="CJ117" s="407">
        <v>4800</v>
      </c>
      <c r="CK117" s="407">
        <v>2400</v>
      </c>
      <c r="CL117" s="407">
        <v>99900</v>
      </c>
    </row>
    <row r="118" spans="1:90" s="80" customFormat="1" ht="11.25">
      <c r="A118" s="413"/>
      <c r="B118" s="417" t="s">
        <v>305</v>
      </c>
      <c r="C118" s="409">
        <v>2009</v>
      </c>
      <c r="D118" s="415" t="s">
        <v>3</v>
      </c>
      <c r="E118" s="415"/>
      <c r="F118" s="412">
        <v>0.70599999999999996</v>
      </c>
      <c r="G118" s="410">
        <v>0.36399999999999999</v>
      </c>
      <c r="H118" s="410">
        <v>0.50700000000000001</v>
      </c>
      <c r="I118" s="412">
        <v>0.42299999999999999</v>
      </c>
      <c r="J118" s="410"/>
      <c r="K118" s="412">
        <f>BF118</f>
        <v>7.3999999999999996E-2</v>
      </c>
      <c r="L118" s="410">
        <f>AY118</f>
        <v>7.0999999999999994E-2</v>
      </c>
      <c r="M118" s="410">
        <f>BD118</f>
        <v>5.2999999999999999E-2</v>
      </c>
      <c r="N118" s="410">
        <f>AW118</f>
        <v>3.1E-2</v>
      </c>
      <c r="O118" s="410">
        <f>BE118</f>
        <v>2.9000000000000001E-2</v>
      </c>
      <c r="P118" s="411">
        <f>AZ118+BA118</f>
        <v>9.5000000000000001E-2</v>
      </c>
      <c r="Q118" s="412">
        <f>AU118</f>
        <v>3.5999999999999997E-2</v>
      </c>
      <c r="R118" s="411">
        <f>AT118+AX118</f>
        <v>0.124</v>
      </c>
      <c r="S118" s="410">
        <f>AV118</f>
        <v>5.2999999999999999E-2</v>
      </c>
      <c r="T118" s="410">
        <f>BB118</f>
        <v>5.6000000000000001E-2</v>
      </c>
      <c r="U118" s="412">
        <f>BC118</f>
        <v>8.4000000000000005E-2</v>
      </c>
      <c r="V118" s="411">
        <f>BG118+BJ118</f>
        <v>5.7000000000000002E-2</v>
      </c>
      <c r="W118" s="410">
        <f>BR118</f>
        <v>2.5999999999999999E-2</v>
      </c>
      <c r="X118" s="411">
        <f>BH118+BI118</f>
        <v>6.9000000000000006E-2</v>
      </c>
      <c r="Y118" s="411">
        <f>BK118+BL118+BN118</f>
        <v>0.10100000000000001</v>
      </c>
      <c r="Z118" s="410">
        <f>BM118</f>
        <v>4.1000000000000002E-2</v>
      </c>
      <c r="AA118" s="411">
        <f>BO118+BQ118</f>
        <v>3.6999999999999998E-2</v>
      </c>
      <c r="AB118" s="412">
        <f>BP118</f>
        <v>3.3000000000000002E-2</v>
      </c>
      <c r="AC118" s="410">
        <f>BX118</f>
        <v>3.5999999999999997E-2</v>
      </c>
      <c r="AD118" s="410">
        <f>BU118</f>
        <v>4.2999999999999997E-2</v>
      </c>
      <c r="AE118" s="411">
        <f>BS118+BT118</f>
        <v>0.107</v>
      </c>
      <c r="AF118" s="410">
        <f>CA118</f>
        <v>4.3999999999999997E-2</v>
      </c>
      <c r="AG118" s="410">
        <f>BV118</f>
        <v>0.124</v>
      </c>
      <c r="AH118" s="410">
        <f>BZ118</f>
        <v>7.3999999999999996E-2</v>
      </c>
      <c r="AI118" s="410">
        <f>BW118</f>
        <v>0.03</v>
      </c>
      <c r="AJ118" s="410">
        <f>BY118</f>
        <v>1.9E-2</v>
      </c>
      <c r="AK118" s="412">
        <f>CB118</f>
        <v>3.1E-2</v>
      </c>
      <c r="AL118" s="410">
        <f>CE118</f>
        <v>3.2000000000000001E-2</v>
      </c>
      <c r="AM118" s="410">
        <f>CH118</f>
        <v>6.6000000000000003E-2</v>
      </c>
      <c r="AN118" s="410">
        <f>CJ118</f>
        <v>9.0999999999999998E-2</v>
      </c>
      <c r="AO118" s="410">
        <f>CC118</f>
        <v>4.5999999999999999E-2</v>
      </c>
      <c r="AP118" s="410">
        <f>CD118</f>
        <v>1.9E-2</v>
      </c>
      <c r="AQ118" s="410">
        <f>CK118</f>
        <v>4.4999999999999998E-2</v>
      </c>
      <c r="AR118" s="410">
        <f>CI118</f>
        <v>6.4000000000000001E-2</v>
      </c>
      <c r="AS118" s="411">
        <f>CF118+CG118</f>
        <v>6.0000000000000005E-2</v>
      </c>
      <c r="AT118" s="410">
        <v>4.3999999999999997E-2</v>
      </c>
      <c r="AU118" s="410">
        <v>3.5999999999999997E-2</v>
      </c>
      <c r="AV118" s="410">
        <v>5.2999999999999999E-2</v>
      </c>
      <c r="AW118" s="410">
        <v>3.1E-2</v>
      </c>
      <c r="AX118" s="410">
        <v>0.08</v>
      </c>
      <c r="AY118" s="410">
        <v>7.0999999999999994E-2</v>
      </c>
      <c r="AZ118" s="410">
        <v>1.4E-2</v>
      </c>
      <c r="BA118" s="410">
        <v>8.1000000000000003E-2</v>
      </c>
      <c r="BB118" s="410">
        <v>5.6000000000000001E-2</v>
      </c>
      <c r="BC118" s="410">
        <v>8.4000000000000005E-2</v>
      </c>
      <c r="BD118" s="410">
        <v>5.2999999999999999E-2</v>
      </c>
      <c r="BE118" s="410">
        <v>2.9000000000000001E-2</v>
      </c>
      <c r="BF118" s="412">
        <v>7.3999999999999996E-2</v>
      </c>
      <c r="BG118" s="410">
        <v>1.6E-2</v>
      </c>
      <c r="BH118" s="410">
        <v>1.4E-2</v>
      </c>
      <c r="BI118" s="410">
        <v>5.5E-2</v>
      </c>
      <c r="BJ118" s="410">
        <v>4.1000000000000002E-2</v>
      </c>
      <c r="BK118" s="410">
        <v>1.4999999999999999E-2</v>
      </c>
      <c r="BL118" s="410">
        <v>1.7000000000000001E-2</v>
      </c>
      <c r="BM118" s="410">
        <v>4.1000000000000002E-2</v>
      </c>
      <c r="BN118" s="410">
        <v>6.9000000000000006E-2</v>
      </c>
      <c r="BO118" s="410">
        <v>1.2999999999999999E-2</v>
      </c>
      <c r="BP118" s="410">
        <v>3.3000000000000002E-2</v>
      </c>
      <c r="BQ118" s="410">
        <v>2.4E-2</v>
      </c>
      <c r="BR118" s="412">
        <v>2.5999999999999999E-2</v>
      </c>
      <c r="BS118" s="410">
        <v>1.6E-2</v>
      </c>
      <c r="BT118" s="410">
        <v>9.0999999999999998E-2</v>
      </c>
      <c r="BU118" s="410">
        <v>4.2999999999999997E-2</v>
      </c>
      <c r="BV118" s="410">
        <v>0.124</v>
      </c>
      <c r="BW118" s="410">
        <v>0.03</v>
      </c>
      <c r="BX118" s="410">
        <v>3.5999999999999997E-2</v>
      </c>
      <c r="BY118" s="410">
        <v>1.9E-2</v>
      </c>
      <c r="BZ118" s="410">
        <v>7.3999999999999996E-2</v>
      </c>
      <c r="CA118" s="410">
        <v>4.3999999999999997E-2</v>
      </c>
      <c r="CB118" s="412">
        <v>3.1E-2</v>
      </c>
      <c r="CC118" s="410">
        <v>4.5999999999999999E-2</v>
      </c>
      <c r="CD118" s="410">
        <v>1.9E-2</v>
      </c>
      <c r="CE118" s="410">
        <v>3.2000000000000001E-2</v>
      </c>
      <c r="CF118" s="410">
        <v>0.01</v>
      </c>
      <c r="CG118" s="410">
        <v>0.05</v>
      </c>
      <c r="CH118" s="410">
        <v>6.6000000000000003E-2</v>
      </c>
      <c r="CI118" s="410">
        <v>6.4000000000000001E-2</v>
      </c>
      <c r="CJ118" s="410">
        <v>9.0999999999999998E-2</v>
      </c>
      <c r="CK118" s="412">
        <v>4.4999999999999998E-2</v>
      </c>
      <c r="CL118" s="412">
        <v>2.0009999999999999</v>
      </c>
    </row>
    <row r="119" spans="1:90" s="80" customFormat="1" ht="11.25">
      <c r="B119" s="414" t="s">
        <v>58</v>
      </c>
      <c r="C119" s="406">
        <v>2010</v>
      </c>
      <c r="D119" s="80" t="s">
        <v>14</v>
      </c>
      <c r="E119" s="418">
        <v>40441</v>
      </c>
      <c r="F119" s="407">
        <v>586</v>
      </c>
      <c r="G119" s="407">
        <v>290</v>
      </c>
      <c r="H119" s="407">
        <v>242</v>
      </c>
      <c r="I119" s="407">
        <v>334</v>
      </c>
      <c r="J119" s="407"/>
      <c r="K119" s="407">
        <v>56</v>
      </c>
      <c r="L119" s="407">
        <v>61</v>
      </c>
      <c r="M119" s="407">
        <v>14</v>
      </c>
      <c r="N119" s="407">
        <v>36</v>
      </c>
      <c r="O119" s="407">
        <v>75</v>
      </c>
      <c r="P119" s="407">
        <v>66</v>
      </c>
      <c r="Q119" s="407">
        <v>41</v>
      </c>
      <c r="R119" s="407">
        <v>97</v>
      </c>
      <c r="S119" s="407">
        <v>53</v>
      </c>
      <c r="T119" s="407">
        <v>19</v>
      </c>
      <c r="U119" s="407">
        <v>71</v>
      </c>
      <c r="V119" s="407">
        <v>32</v>
      </c>
      <c r="W119" s="407">
        <v>41</v>
      </c>
      <c r="X119" s="407">
        <v>81</v>
      </c>
      <c r="Y119" s="407">
        <v>56</v>
      </c>
      <c r="Z119" s="407">
        <v>26</v>
      </c>
      <c r="AA119" s="407">
        <v>44</v>
      </c>
      <c r="AB119" s="407">
        <v>21</v>
      </c>
      <c r="AC119" s="407">
        <v>24</v>
      </c>
      <c r="AD119" s="407">
        <v>20</v>
      </c>
      <c r="AE119" s="407">
        <v>42</v>
      </c>
      <c r="AF119" s="407">
        <v>19</v>
      </c>
      <c r="AG119" s="407">
        <v>23</v>
      </c>
      <c r="AH119" s="407">
        <v>16</v>
      </c>
      <c r="AI119" s="407">
        <v>40</v>
      </c>
      <c r="AJ119" s="407">
        <v>39</v>
      </c>
      <c r="AK119" s="407">
        <v>25</v>
      </c>
      <c r="AL119" s="407">
        <v>18</v>
      </c>
      <c r="AM119" s="407">
        <v>34</v>
      </c>
      <c r="AN119" s="407">
        <v>53</v>
      </c>
      <c r="AO119" s="407">
        <v>95</v>
      </c>
      <c r="AP119" s="407">
        <v>21</v>
      </c>
      <c r="AQ119" s="407">
        <v>28</v>
      </c>
      <c r="AR119" s="407">
        <v>27</v>
      </c>
      <c r="AS119" s="407">
        <v>59</v>
      </c>
      <c r="AT119" s="407"/>
      <c r="AU119" s="407">
        <v>41</v>
      </c>
      <c r="AV119" s="407">
        <v>53</v>
      </c>
      <c r="AW119" s="407">
        <v>36</v>
      </c>
      <c r="AX119" s="407">
        <v>70</v>
      </c>
      <c r="AY119" s="407">
        <v>61</v>
      </c>
      <c r="AZ119" s="407">
        <v>15</v>
      </c>
      <c r="BA119" s="407">
        <v>51</v>
      </c>
      <c r="BB119" s="407">
        <v>19</v>
      </c>
      <c r="BC119" s="407">
        <v>71</v>
      </c>
      <c r="BD119" s="407">
        <v>14</v>
      </c>
      <c r="BE119" s="407">
        <v>75</v>
      </c>
      <c r="BF119" s="407">
        <v>56</v>
      </c>
      <c r="BG119" s="407">
        <v>5</v>
      </c>
      <c r="BH119" s="407">
        <v>19</v>
      </c>
      <c r="BI119" s="407">
        <v>62</v>
      </c>
      <c r="BJ119" s="407">
        <v>27</v>
      </c>
      <c r="BK119" s="407">
        <v>2</v>
      </c>
      <c r="BL119" s="407">
        <v>16</v>
      </c>
      <c r="BM119" s="407">
        <v>26</v>
      </c>
      <c r="BN119" s="407">
        <v>38</v>
      </c>
      <c r="BO119" s="407">
        <v>5</v>
      </c>
      <c r="BP119" s="407">
        <v>21</v>
      </c>
      <c r="BQ119" s="407">
        <v>39</v>
      </c>
      <c r="BR119" s="407">
        <v>41</v>
      </c>
      <c r="BS119" s="407">
        <v>8</v>
      </c>
      <c r="BT119" s="407">
        <v>34</v>
      </c>
      <c r="BU119" s="407">
        <v>20</v>
      </c>
      <c r="BV119" s="407">
        <v>23</v>
      </c>
      <c r="BW119" s="407">
        <v>40</v>
      </c>
      <c r="BX119" s="407">
        <v>24</v>
      </c>
      <c r="BY119" s="407">
        <v>39</v>
      </c>
      <c r="BZ119" s="407">
        <v>16</v>
      </c>
      <c r="CA119" s="407">
        <v>19</v>
      </c>
      <c r="CB119" s="407">
        <v>25</v>
      </c>
      <c r="CC119" s="407">
        <v>95</v>
      </c>
      <c r="CD119" s="407">
        <v>21</v>
      </c>
      <c r="CE119" s="407">
        <v>18</v>
      </c>
      <c r="CF119" s="407">
        <v>12</v>
      </c>
      <c r="CG119" s="407">
        <v>47</v>
      </c>
      <c r="CH119" s="407">
        <v>34</v>
      </c>
      <c r="CI119" s="407">
        <v>27</v>
      </c>
      <c r="CJ119" s="407">
        <v>53</v>
      </c>
      <c r="CK119" s="407">
        <v>28</v>
      </c>
      <c r="CL119" s="407">
        <v>1452</v>
      </c>
    </row>
    <row r="120" spans="1:90" s="80" customFormat="1" ht="11.25">
      <c r="B120" s="414"/>
      <c r="C120" s="406"/>
      <c r="D120" s="80" t="s">
        <v>1</v>
      </c>
      <c r="F120" s="407">
        <v>232107.36</v>
      </c>
      <c r="G120" s="407">
        <v>184654.69</v>
      </c>
      <c r="H120" s="407">
        <v>174810.37</v>
      </c>
      <c r="I120" s="407">
        <v>202711.95</v>
      </c>
      <c r="J120" s="407"/>
      <c r="K120" s="407">
        <v>18203.28</v>
      </c>
      <c r="L120" s="407">
        <v>29257.74</v>
      </c>
      <c r="M120" s="407">
        <v>26747.8</v>
      </c>
      <c r="N120" s="407">
        <v>15760.74</v>
      </c>
      <c r="O120" s="407">
        <v>7776.37</v>
      </c>
      <c r="P120" s="407">
        <v>14670.77</v>
      </c>
      <c r="Q120" s="407">
        <v>20995.78</v>
      </c>
      <c r="R120" s="407">
        <v>33590.68</v>
      </c>
      <c r="S120" s="407">
        <v>28171.93</v>
      </c>
      <c r="T120" s="407">
        <v>12926.83</v>
      </c>
      <c r="U120" s="407">
        <v>24005.43</v>
      </c>
      <c r="V120" s="407">
        <v>31773.06</v>
      </c>
      <c r="W120" s="407">
        <v>11941.64</v>
      </c>
      <c r="X120" s="407">
        <v>32421.03</v>
      </c>
      <c r="Y120" s="407">
        <v>49804.35</v>
      </c>
      <c r="Z120" s="407">
        <v>15546.89</v>
      </c>
      <c r="AA120" s="407">
        <v>18158.240000000002</v>
      </c>
      <c r="AB120" s="407">
        <v>25000.47</v>
      </c>
      <c r="AC120" s="407">
        <v>8787.24</v>
      </c>
      <c r="AD120" s="407">
        <v>10687.19</v>
      </c>
      <c r="AE120" s="407">
        <v>72340.58</v>
      </c>
      <c r="AF120" s="407">
        <v>5894.01</v>
      </c>
      <c r="AG120" s="407">
        <v>14323.86</v>
      </c>
      <c r="AH120" s="407">
        <v>20871.22</v>
      </c>
      <c r="AI120" s="407">
        <v>6983.96</v>
      </c>
      <c r="AJ120" s="407">
        <v>7057.98</v>
      </c>
      <c r="AK120" s="407">
        <v>27864.33</v>
      </c>
      <c r="AL120" s="407">
        <v>31057.48</v>
      </c>
      <c r="AM120" s="407">
        <v>29330.19</v>
      </c>
      <c r="AN120" s="407">
        <v>29782.37</v>
      </c>
      <c r="AO120" s="407">
        <v>24341.94</v>
      </c>
      <c r="AP120" s="407">
        <v>20088.61</v>
      </c>
      <c r="AQ120" s="407">
        <v>10922.03</v>
      </c>
      <c r="AR120" s="407">
        <v>9362.69</v>
      </c>
      <c r="AS120" s="407">
        <v>47826.65</v>
      </c>
      <c r="AT120" s="407"/>
      <c r="AU120" s="407">
        <v>20995.78</v>
      </c>
      <c r="AV120" s="407">
        <v>28171.93</v>
      </c>
      <c r="AW120" s="407">
        <v>15760.74</v>
      </c>
      <c r="AX120" s="407">
        <v>26900.82</v>
      </c>
      <c r="AY120" s="407">
        <v>29257.74</v>
      </c>
      <c r="AZ120" s="407">
        <v>2301.91</v>
      </c>
      <c r="BA120" s="407">
        <v>12368.86</v>
      </c>
      <c r="BB120" s="407">
        <v>12926.83</v>
      </c>
      <c r="BC120" s="407">
        <v>24005.43</v>
      </c>
      <c r="BD120" s="407">
        <v>26747.8</v>
      </c>
      <c r="BE120" s="407">
        <v>7776.37</v>
      </c>
      <c r="BF120" s="407">
        <v>18203.28</v>
      </c>
      <c r="BG120" s="407">
        <v>8855.68</v>
      </c>
      <c r="BH120" s="407">
        <v>5712.45</v>
      </c>
      <c r="BI120" s="407">
        <v>26708.58</v>
      </c>
      <c r="BJ120" s="407">
        <v>22917.38</v>
      </c>
      <c r="BK120" s="407">
        <v>4996</v>
      </c>
      <c r="BL120" s="407">
        <v>4092.46</v>
      </c>
      <c r="BM120" s="407">
        <v>15546.89</v>
      </c>
      <c r="BN120" s="407">
        <v>40715.89</v>
      </c>
      <c r="BO120" s="407">
        <v>5897.54</v>
      </c>
      <c r="BP120" s="407">
        <v>25000.47</v>
      </c>
      <c r="BQ120" s="407">
        <v>12260.7</v>
      </c>
      <c r="BR120" s="407">
        <v>11941.64</v>
      </c>
      <c r="BS120" s="407">
        <v>6992.51</v>
      </c>
      <c r="BT120" s="407">
        <v>65348.07</v>
      </c>
      <c r="BU120" s="407">
        <v>10687.19</v>
      </c>
      <c r="BV120" s="407">
        <v>14323.86</v>
      </c>
      <c r="BW120" s="407">
        <v>6983.96</v>
      </c>
      <c r="BX120" s="407">
        <v>8787.24</v>
      </c>
      <c r="BY120" s="407">
        <v>7057.98</v>
      </c>
      <c r="BZ120" s="407">
        <v>20871.22</v>
      </c>
      <c r="CA120" s="407">
        <v>5894.01</v>
      </c>
      <c r="CB120" s="407">
        <v>27864.33</v>
      </c>
      <c r="CC120" s="407">
        <v>24341.94</v>
      </c>
      <c r="CD120" s="407">
        <v>20088.61</v>
      </c>
      <c r="CE120" s="407">
        <v>31057.48</v>
      </c>
      <c r="CF120" s="407">
        <v>3508.14</v>
      </c>
      <c r="CG120" s="407">
        <v>44318.51</v>
      </c>
      <c r="CH120" s="407">
        <v>29330.19</v>
      </c>
      <c r="CI120" s="407">
        <v>9362.69</v>
      </c>
      <c r="CJ120" s="407">
        <v>29782.37</v>
      </c>
      <c r="CK120" s="407">
        <v>10922.03</v>
      </c>
      <c r="CL120" s="407">
        <v>813936.7</v>
      </c>
    </row>
    <row r="121" spans="1:90" s="80" customFormat="1" ht="11.25">
      <c r="B121" s="414" t="s">
        <v>211</v>
      </c>
      <c r="C121" s="406">
        <v>2010</v>
      </c>
      <c r="D121" s="80" t="s">
        <v>14</v>
      </c>
      <c r="E121" s="418">
        <v>40441</v>
      </c>
      <c r="F121" s="407">
        <v>4143</v>
      </c>
      <c r="G121" s="407">
        <v>308</v>
      </c>
      <c r="H121" s="407">
        <v>509</v>
      </c>
      <c r="I121" s="407">
        <v>1271</v>
      </c>
      <c r="J121" s="407"/>
      <c r="K121" s="407">
        <v>398</v>
      </c>
      <c r="L121" s="407">
        <v>596</v>
      </c>
      <c r="M121" s="407">
        <v>282</v>
      </c>
      <c r="N121" s="407">
        <v>246</v>
      </c>
      <c r="O121" s="407">
        <v>239</v>
      </c>
      <c r="P121" s="407">
        <v>184</v>
      </c>
      <c r="Q121" s="407">
        <v>396</v>
      </c>
      <c r="R121" s="407">
        <v>538</v>
      </c>
      <c r="S121" s="407">
        <v>404</v>
      </c>
      <c r="T121" s="407">
        <v>132</v>
      </c>
      <c r="U121" s="407">
        <v>732</v>
      </c>
      <c r="V121" s="407">
        <v>40</v>
      </c>
      <c r="W121" s="407">
        <v>16</v>
      </c>
      <c r="X121" s="407">
        <v>155</v>
      </c>
      <c r="Y121" s="407">
        <v>61</v>
      </c>
      <c r="Z121" s="407">
        <v>23</v>
      </c>
      <c r="AA121" s="407">
        <v>16</v>
      </c>
      <c r="AB121" s="407" t="s">
        <v>61</v>
      </c>
      <c r="AC121" s="407">
        <v>48</v>
      </c>
      <c r="AD121" s="407">
        <v>21</v>
      </c>
      <c r="AE121" s="407">
        <v>55</v>
      </c>
      <c r="AF121" s="407">
        <v>38</v>
      </c>
      <c r="AG121" s="407">
        <v>98</v>
      </c>
      <c r="AH121" s="407">
        <v>68</v>
      </c>
      <c r="AI121" s="407">
        <v>21</v>
      </c>
      <c r="AJ121" s="407">
        <v>81</v>
      </c>
      <c r="AK121" s="407">
        <v>79</v>
      </c>
      <c r="AL121" s="407">
        <v>29</v>
      </c>
      <c r="AM121" s="407">
        <v>7</v>
      </c>
      <c r="AN121" s="407">
        <v>493</v>
      </c>
      <c r="AO121" s="407">
        <v>203</v>
      </c>
      <c r="AP121" s="407">
        <v>17</v>
      </c>
      <c r="AQ121" s="407">
        <v>124</v>
      </c>
      <c r="AR121" s="407">
        <v>28</v>
      </c>
      <c r="AS121" s="407">
        <v>371</v>
      </c>
      <c r="AT121" s="407"/>
      <c r="AU121" s="407">
        <v>396</v>
      </c>
      <c r="AV121" s="407">
        <v>404</v>
      </c>
      <c r="AW121" s="407">
        <v>246</v>
      </c>
      <c r="AX121" s="407">
        <v>526</v>
      </c>
      <c r="AY121" s="407">
        <v>596</v>
      </c>
      <c r="AZ121" s="407">
        <v>8</v>
      </c>
      <c r="BA121" s="407">
        <v>176</v>
      </c>
      <c r="BB121" s="407">
        <v>132</v>
      </c>
      <c r="BC121" s="407">
        <v>732</v>
      </c>
      <c r="BD121" s="407">
        <v>282</v>
      </c>
      <c r="BE121" s="407">
        <v>239</v>
      </c>
      <c r="BF121" s="407">
        <v>398</v>
      </c>
      <c r="BG121" s="407">
        <v>9</v>
      </c>
      <c r="BH121" s="407">
        <v>3</v>
      </c>
      <c r="BI121" s="407">
        <v>152</v>
      </c>
      <c r="BJ121" s="407">
        <v>31</v>
      </c>
      <c r="BK121" s="407">
        <v>9</v>
      </c>
      <c r="BL121" s="407">
        <v>2</v>
      </c>
      <c r="BM121" s="407">
        <v>23</v>
      </c>
      <c r="BN121" s="407">
        <v>50</v>
      </c>
      <c r="BO121" s="407">
        <v>1</v>
      </c>
      <c r="BP121" s="407" t="s">
        <v>61</v>
      </c>
      <c r="BQ121" s="407">
        <v>15</v>
      </c>
      <c r="BR121" s="407">
        <v>16</v>
      </c>
      <c r="BS121" s="407">
        <v>7</v>
      </c>
      <c r="BT121" s="407">
        <v>48</v>
      </c>
      <c r="BU121" s="407">
        <v>21</v>
      </c>
      <c r="BV121" s="407">
        <v>98</v>
      </c>
      <c r="BW121" s="407">
        <v>21</v>
      </c>
      <c r="BX121" s="407">
        <v>48</v>
      </c>
      <c r="BY121" s="407">
        <v>81</v>
      </c>
      <c r="BZ121" s="407">
        <v>68</v>
      </c>
      <c r="CA121" s="407">
        <v>38</v>
      </c>
      <c r="CB121" s="407">
        <v>79</v>
      </c>
      <c r="CC121" s="407">
        <v>203</v>
      </c>
      <c r="CD121" s="407">
        <v>17</v>
      </c>
      <c r="CE121" s="407">
        <v>29</v>
      </c>
      <c r="CF121" s="407">
        <v>9</v>
      </c>
      <c r="CG121" s="407">
        <v>362</v>
      </c>
      <c r="CH121" s="407">
        <v>7</v>
      </c>
      <c r="CI121" s="407">
        <v>28</v>
      </c>
      <c r="CJ121" s="407">
        <v>493</v>
      </c>
      <c r="CK121" s="407">
        <v>124</v>
      </c>
      <c r="CL121" s="407">
        <v>6231</v>
      </c>
    </row>
    <row r="122" spans="1:90" s="80" customFormat="1" ht="11.25">
      <c r="B122" s="414"/>
      <c r="C122" s="406"/>
      <c r="D122" s="80" t="s">
        <v>1</v>
      </c>
      <c r="F122" s="407">
        <v>4170.09</v>
      </c>
      <c r="G122" s="407">
        <v>541.74</v>
      </c>
      <c r="H122" s="407">
        <v>587.17999999999995</v>
      </c>
      <c r="I122" s="407">
        <v>1151.67</v>
      </c>
      <c r="J122" s="407"/>
      <c r="K122" s="407">
        <v>359.48</v>
      </c>
      <c r="L122" s="407">
        <v>528.95000000000005</v>
      </c>
      <c r="M122" s="407">
        <v>290.68</v>
      </c>
      <c r="N122" s="407">
        <v>310.51</v>
      </c>
      <c r="O122" s="407">
        <v>119.56</v>
      </c>
      <c r="P122" s="407">
        <v>180.21</v>
      </c>
      <c r="Q122" s="407">
        <v>604.95000000000005</v>
      </c>
      <c r="R122" s="407">
        <v>582.64</v>
      </c>
      <c r="S122" s="407">
        <v>556.91</v>
      </c>
      <c r="T122" s="407">
        <v>74.989999999999995</v>
      </c>
      <c r="U122" s="407">
        <v>561.22</v>
      </c>
      <c r="V122" s="407">
        <v>79.45</v>
      </c>
      <c r="W122" s="407">
        <v>39.14</v>
      </c>
      <c r="X122" s="407">
        <v>280.74</v>
      </c>
      <c r="Y122" s="407">
        <v>77.97</v>
      </c>
      <c r="Z122" s="407">
        <v>54.51</v>
      </c>
      <c r="AA122" s="407">
        <v>9.93</v>
      </c>
      <c r="AB122" s="407" t="s">
        <v>61</v>
      </c>
      <c r="AC122" s="407">
        <v>65.58</v>
      </c>
      <c r="AD122" s="407">
        <v>29.81</v>
      </c>
      <c r="AE122" s="407">
        <v>68.790000000000006</v>
      </c>
      <c r="AF122" s="407">
        <v>36.619999999999997</v>
      </c>
      <c r="AG122" s="407">
        <v>45.79</v>
      </c>
      <c r="AH122" s="407">
        <v>151.69</v>
      </c>
      <c r="AI122" s="407">
        <v>42.2</v>
      </c>
      <c r="AJ122" s="407">
        <v>77.03</v>
      </c>
      <c r="AK122" s="407">
        <v>69.67</v>
      </c>
      <c r="AL122" s="407">
        <v>65.63</v>
      </c>
      <c r="AM122" s="407">
        <v>10.07</v>
      </c>
      <c r="AN122" s="407">
        <v>440.02</v>
      </c>
      <c r="AO122" s="407">
        <v>198.6</v>
      </c>
      <c r="AP122" s="407">
        <v>28.92</v>
      </c>
      <c r="AQ122" s="407">
        <v>42.68</v>
      </c>
      <c r="AR122" s="407">
        <v>40.46</v>
      </c>
      <c r="AS122" s="407">
        <v>325.3</v>
      </c>
      <c r="AT122" s="407"/>
      <c r="AU122" s="407">
        <v>604.95000000000005</v>
      </c>
      <c r="AV122" s="407">
        <v>556.91</v>
      </c>
      <c r="AW122" s="407">
        <v>310.51</v>
      </c>
      <c r="AX122" s="407">
        <v>578.1</v>
      </c>
      <c r="AY122" s="407">
        <v>528.95000000000005</v>
      </c>
      <c r="AZ122" s="407">
        <v>11.52</v>
      </c>
      <c r="BA122" s="407">
        <v>168.69</v>
      </c>
      <c r="BB122" s="407">
        <v>74.989999999999995</v>
      </c>
      <c r="BC122" s="407">
        <v>561.22</v>
      </c>
      <c r="BD122" s="407">
        <v>290.68</v>
      </c>
      <c r="BE122" s="407">
        <v>119.56</v>
      </c>
      <c r="BF122" s="407">
        <v>359.48</v>
      </c>
      <c r="BG122" s="407">
        <v>19.5</v>
      </c>
      <c r="BH122" s="407">
        <v>3.6</v>
      </c>
      <c r="BI122" s="407">
        <v>277.14</v>
      </c>
      <c r="BJ122" s="407">
        <v>59.95</v>
      </c>
      <c r="BK122" s="407">
        <v>16.16</v>
      </c>
      <c r="BL122" s="407">
        <v>1.1599999999999999</v>
      </c>
      <c r="BM122" s="407">
        <v>54.51</v>
      </c>
      <c r="BN122" s="407">
        <v>60.65</v>
      </c>
      <c r="BO122" s="407">
        <v>3.9</v>
      </c>
      <c r="BP122" s="407" t="s">
        <v>61</v>
      </c>
      <c r="BQ122" s="407">
        <v>6.03</v>
      </c>
      <c r="BR122" s="407">
        <v>39.14</v>
      </c>
      <c r="BS122" s="407">
        <v>6.83</v>
      </c>
      <c r="BT122" s="407">
        <v>61.96</v>
      </c>
      <c r="BU122" s="407">
        <v>29.81</v>
      </c>
      <c r="BV122" s="407">
        <v>45.79</v>
      </c>
      <c r="BW122" s="407">
        <v>42.2</v>
      </c>
      <c r="BX122" s="407">
        <v>65.58</v>
      </c>
      <c r="BY122" s="407">
        <v>77.03</v>
      </c>
      <c r="BZ122" s="407">
        <v>151.69</v>
      </c>
      <c r="CA122" s="407">
        <v>36.619999999999997</v>
      </c>
      <c r="CB122" s="407">
        <v>69.67</v>
      </c>
      <c r="CC122" s="407">
        <v>198.6</v>
      </c>
      <c r="CD122" s="407">
        <v>28.92</v>
      </c>
      <c r="CE122" s="407">
        <v>65.63</v>
      </c>
      <c r="CF122" s="407">
        <v>19.27</v>
      </c>
      <c r="CG122" s="407">
        <v>306.02999999999997</v>
      </c>
      <c r="CH122" s="407">
        <v>10.07</v>
      </c>
      <c r="CI122" s="407">
        <v>40.46</v>
      </c>
      <c r="CJ122" s="407">
        <v>440.02</v>
      </c>
      <c r="CK122" s="407">
        <v>42.68</v>
      </c>
      <c r="CL122" s="407">
        <v>6476.71</v>
      </c>
    </row>
    <row r="123" spans="1:90" s="80" customFormat="1" ht="11.25">
      <c r="B123" s="414" t="s">
        <v>254</v>
      </c>
      <c r="C123" s="406">
        <v>2010</v>
      </c>
      <c r="D123" s="80" t="s">
        <v>14</v>
      </c>
      <c r="E123" s="418">
        <v>40648</v>
      </c>
      <c r="F123" s="407">
        <v>3148</v>
      </c>
      <c r="G123" s="407">
        <v>681</v>
      </c>
      <c r="H123" s="407">
        <v>2722</v>
      </c>
      <c r="I123" s="407">
        <v>4220</v>
      </c>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07"/>
      <c r="AO123" s="407"/>
      <c r="AP123" s="407"/>
      <c r="AQ123" s="407"/>
      <c r="AR123" s="407"/>
      <c r="AS123" s="407"/>
      <c r="AT123" s="407"/>
      <c r="AU123" s="407">
        <v>89</v>
      </c>
      <c r="AV123" s="407">
        <v>96</v>
      </c>
      <c r="AW123" s="407">
        <v>309</v>
      </c>
      <c r="AX123" s="407">
        <v>140</v>
      </c>
      <c r="AY123" s="407">
        <v>242</v>
      </c>
      <c r="AZ123" s="407">
        <v>4</v>
      </c>
      <c r="BA123" s="407">
        <v>125</v>
      </c>
      <c r="BB123" s="407">
        <v>226</v>
      </c>
      <c r="BC123" s="407">
        <v>693</v>
      </c>
      <c r="BD123" s="407">
        <v>254</v>
      </c>
      <c r="BE123" s="407">
        <v>210</v>
      </c>
      <c r="BF123" s="407">
        <v>746</v>
      </c>
      <c r="BG123" s="407" t="s">
        <v>61</v>
      </c>
      <c r="BH123" s="407" t="s">
        <v>252</v>
      </c>
      <c r="BI123" s="407">
        <v>31</v>
      </c>
      <c r="BJ123" s="407">
        <v>19</v>
      </c>
      <c r="BK123" s="407" t="s">
        <v>252</v>
      </c>
      <c r="BL123" s="407" t="s">
        <v>252</v>
      </c>
      <c r="BM123" s="407">
        <v>213</v>
      </c>
      <c r="BN123" s="407">
        <v>90</v>
      </c>
      <c r="BO123" s="407" t="s">
        <v>252</v>
      </c>
      <c r="BP123" s="407">
        <v>123</v>
      </c>
      <c r="BQ123" s="407">
        <v>65</v>
      </c>
      <c r="BR123" s="407">
        <v>130</v>
      </c>
      <c r="BS123" s="407">
        <v>5</v>
      </c>
      <c r="BT123" s="407">
        <v>443</v>
      </c>
      <c r="BU123" s="407">
        <v>183</v>
      </c>
      <c r="BV123" s="407">
        <v>479</v>
      </c>
      <c r="BW123" s="407">
        <v>221</v>
      </c>
      <c r="BX123" s="407">
        <v>466</v>
      </c>
      <c r="BY123" s="407">
        <v>139</v>
      </c>
      <c r="BZ123" s="407">
        <v>233</v>
      </c>
      <c r="CA123" s="407">
        <v>182</v>
      </c>
      <c r="CB123" s="407">
        <v>371</v>
      </c>
      <c r="CC123" s="407">
        <v>247</v>
      </c>
      <c r="CD123" s="407">
        <v>40</v>
      </c>
      <c r="CE123" s="407">
        <v>82</v>
      </c>
      <c r="CF123" s="407">
        <v>21</v>
      </c>
      <c r="CG123" s="407">
        <v>569</v>
      </c>
      <c r="CH123" s="407">
        <v>886</v>
      </c>
      <c r="CI123" s="407">
        <v>338</v>
      </c>
      <c r="CJ123" s="407">
        <v>1662</v>
      </c>
      <c r="CK123" s="407">
        <v>375</v>
      </c>
      <c r="CL123" s="407">
        <v>10771</v>
      </c>
    </row>
    <row r="124" spans="1:90" s="80" customFormat="1" ht="11.25">
      <c r="B124" s="414" t="s">
        <v>255</v>
      </c>
      <c r="C124" s="406">
        <v>2010</v>
      </c>
      <c r="D124" s="80" t="s">
        <v>14</v>
      </c>
      <c r="E124" s="418">
        <v>40652</v>
      </c>
      <c r="F124" s="407">
        <v>3007</v>
      </c>
      <c r="G124" s="407">
        <v>672</v>
      </c>
      <c r="H124" s="407">
        <v>1964</v>
      </c>
      <c r="I124" s="407">
        <v>2366</v>
      </c>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v>85</v>
      </c>
      <c r="AV124" s="407">
        <v>62</v>
      </c>
      <c r="AW124" s="407">
        <v>122</v>
      </c>
      <c r="AX124" s="407">
        <v>133</v>
      </c>
      <c r="AY124" s="407">
        <v>134</v>
      </c>
      <c r="AZ124" s="407" t="s">
        <v>252</v>
      </c>
      <c r="BA124" s="407">
        <v>133</v>
      </c>
      <c r="BB124" s="407">
        <v>359</v>
      </c>
      <c r="BC124" s="407">
        <v>917</v>
      </c>
      <c r="BD124" s="407">
        <v>430</v>
      </c>
      <c r="BE124" s="407">
        <v>169</v>
      </c>
      <c r="BF124" s="407">
        <v>459</v>
      </c>
      <c r="BG124" s="407" t="s">
        <v>252</v>
      </c>
      <c r="BH124" s="407">
        <v>8</v>
      </c>
      <c r="BI124" s="407">
        <v>56</v>
      </c>
      <c r="BJ124" s="407">
        <v>43</v>
      </c>
      <c r="BK124" s="407">
        <v>9</v>
      </c>
      <c r="BL124" s="407" t="s">
        <v>252</v>
      </c>
      <c r="BM124" s="407">
        <v>182</v>
      </c>
      <c r="BN124" s="407">
        <v>110</v>
      </c>
      <c r="BO124" s="407">
        <v>3</v>
      </c>
      <c r="BP124" s="407">
        <v>91</v>
      </c>
      <c r="BQ124" s="407">
        <v>58</v>
      </c>
      <c r="BR124" s="407">
        <v>106</v>
      </c>
      <c r="BS124" s="407">
        <v>13</v>
      </c>
      <c r="BT124" s="407">
        <v>280</v>
      </c>
      <c r="BU124" s="407">
        <v>180</v>
      </c>
      <c r="BV124" s="407">
        <v>497</v>
      </c>
      <c r="BW124" s="407">
        <v>223</v>
      </c>
      <c r="BX124" s="407">
        <v>247</v>
      </c>
      <c r="BY124" s="407">
        <v>95</v>
      </c>
      <c r="BZ124" s="407">
        <v>119</v>
      </c>
      <c r="CA124" s="407">
        <v>96</v>
      </c>
      <c r="CB124" s="407">
        <v>214</v>
      </c>
      <c r="CC124" s="407">
        <v>220</v>
      </c>
      <c r="CD124" s="407">
        <v>65</v>
      </c>
      <c r="CE124" s="407">
        <v>83</v>
      </c>
      <c r="CF124" s="407">
        <v>30</v>
      </c>
      <c r="CG124" s="407">
        <v>731</v>
      </c>
      <c r="CH124" s="407">
        <v>500</v>
      </c>
      <c r="CI124" s="407">
        <v>119</v>
      </c>
      <c r="CJ124" s="407">
        <v>237</v>
      </c>
      <c r="CK124" s="407">
        <v>381</v>
      </c>
      <c r="CL124" s="407">
        <v>8009</v>
      </c>
    </row>
    <row r="125" spans="1:90" s="80" customFormat="1" ht="11.25">
      <c r="B125" s="414" t="s">
        <v>256</v>
      </c>
      <c r="C125" s="406">
        <v>2010</v>
      </c>
      <c r="D125" s="80" t="s">
        <v>14</v>
      </c>
      <c r="E125" s="418">
        <v>40652</v>
      </c>
      <c r="F125" s="407">
        <v>523578</v>
      </c>
      <c r="G125" s="407">
        <v>68098</v>
      </c>
      <c r="H125" s="407">
        <v>94291</v>
      </c>
      <c r="I125" s="407">
        <v>399368</v>
      </c>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v>12206</v>
      </c>
      <c r="AV125" s="407">
        <v>4039</v>
      </c>
      <c r="AW125" s="407">
        <v>15543</v>
      </c>
      <c r="AX125" s="407">
        <v>28660</v>
      </c>
      <c r="AY125" s="407">
        <v>9818</v>
      </c>
      <c r="AZ125" s="407" t="s">
        <v>252</v>
      </c>
      <c r="BA125" s="407">
        <v>23545</v>
      </c>
      <c r="BB125" s="407">
        <v>77858</v>
      </c>
      <c r="BC125" s="407">
        <v>208234</v>
      </c>
      <c r="BD125" s="407">
        <v>59852</v>
      </c>
      <c r="BE125" s="407">
        <v>31522</v>
      </c>
      <c r="BF125" s="407">
        <v>51804</v>
      </c>
      <c r="BG125" s="407" t="s">
        <v>252</v>
      </c>
      <c r="BH125" s="407">
        <v>793</v>
      </c>
      <c r="BI125" s="407">
        <v>5110</v>
      </c>
      <c r="BJ125" s="407">
        <v>3874</v>
      </c>
      <c r="BK125" s="407">
        <v>567</v>
      </c>
      <c r="BL125" s="407">
        <v>64</v>
      </c>
      <c r="BM125" s="407">
        <v>26778</v>
      </c>
      <c r="BN125" s="407">
        <v>14479</v>
      </c>
      <c r="BO125" s="407" t="s">
        <v>252</v>
      </c>
      <c r="BP125" s="407">
        <v>4065</v>
      </c>
      <c r="BQ125" s="407">
        <v>4983</v>
      </c>
      <c r="BR125" s="407">
        <v>7368</v>
      </c>
      <c r="BS125" s="407">
        <v>223</v>
      </c>
      <c r="BT125" s="407">
        <v>6205</v>
      </c>
      <c r="BU125" s="407">
        <v>4070</v>
      </c>
      <c r="BV125" s="407">
        <v>15514</v>
      </c>
      <c r="BW125" s="407">
        <v>26001</v>
      </c>
      <c r="BX125" s="407">
        <v>13716</v>
      </c>
      <c r="BY125" s="407">
        <v>6568</v>
      </c>
      <c r="BZ125" s="407">
        <v>12062</v>
      </c>
      <c r="CA125" s="407">
        <v>2689</v>
      </c>
      <c r="CB125" s="407">
        <v>7243</v>
      </c>
      <c r="CC125" s="407">
        <v>15086</v>
      </c>
      <c r="CD125" s="407">
        <v>10014</v>
      </c>
      <c r="CE125" s="407">
        <v>6150</v>
      </c>
      <c r="CF125" s="407">
        <v>12842</v>
      </c>
      <c r="CG125" s="407">
        <v>157728</v>
      </c>
      <c r="CH125" s="407">
        <v>98860</v>
      </c>
      <c r="CI125" s="407">
        <v>13491</v>
      </c>
      <c r="CJ125" s="407">
        <v>27942</v>
      </c>
      <c r="CK125" s="407">
        <v>57255</v>
      </c>
      <c r="CL125" s="407">
        <v>1085335</v>
      </c>
    </row>
    <row r="126" spans="1:90">
      <c r="B126" s="66" t="s">
        <v>323</v>
      </c>
      <c r="F126" s="166">
        <f>SUM(AT126:BF126)</f>
        <v>292396</v>
      </c>
      <c r="G126" s="166">
        <f>SUM(BG126:BR126)</f>
        <v>85522</v>
      </c>
      <c r="H126" s="166">
        <f>SUM(BS126:CB126)</f>
        <v>157968</v>
      </c>
      <c r="I126" s="166">
        <f>SUM(CC126:CK126)</f>
        <v>224236</v>
      </c>
      <c r="K126" s="166">
        <f>BF126</f>
        <v>64181</v>
      </c>
      <c r="L126" s="166">
        <f>AY126</f>
        <v>17637</v>
      </c>
      <c r="M126" s="166">
        <f>BD126</f>
        <v>47812</v>
      </c>
      <c r="N126" s="166">
        <f>AW126</f>
        <v>20788</v>
      </c>
      <c r="O126" s="166">
        <f>BE126</f>
        <v>15643</v>
      </c>
      <c r="P126" s="166">
        <f>'2011'!AZ126+'2011'!BA126</f>
        <v>6973</v>
      </c>
      <c r="Q126" s="166">
        <f>'2011'!AU126</f>
        <v>10663</v>
      </c>
      <c r="R126" s="166">
        <f>AT126+AX126</f>
        <v>502</v>
      </c>
      <c r="S126" s="166">
        <f>AV126</f>
        <v>11139</v>
      </c>
      <c r="T126" s="166">
        <f>BB126</f>
        <v>23307</v>
      </c>
      <c r="U126" s="166">
        <f>BC126</f>
        <v>73751</v>
      </c>
      <c r="V126" s="166">
        <f>BG126+BJ126</f>
        <v>5394</v>
      </c>
      <c r="W126" s="166">
        <f>BR126</f>
        <v>15584</v>
      </c>
      <c r="X126" s="166">
        <f>BH126+BI126</f>
        <v>2629</v>
      </c>
      <c r="Y126" s="166">
        <f>BK126+BL126+BN126</f>
        <v>6752</v>
      </c>
      <c r="Z126" s="166">
        <f>BM126</f>
        <v>32508</v>
      </c>
      <c r="AA126" s="166">
        <f>BO126+BQ126</f>
        <v>9261</v>
      </c>
      <c r="AB126" s="166">
        <f>BP126</f>
        <v>13394</v>
      </c>
      <c r="AC126" s="166">
        <f>BX126</f>
        <v>25072</v>
      </c>
      <c r="AD126" s="166">
        <f>BU126</f>
        <v>7961</v>
      </c>
      <c r="AE126" s="166">
        <f>BS126+BT126</f>
        <v>5828</v>
      </c>
      <c r="AF126" s="166">
        <f>CA126</f>
        <v>6710</v>
      </c>
      <c r="AG126" s="166">
        <f>BV126</f>
        <v>18946</v>
      </c>
      <c r="AH126" s="166">
        <f>BZ126</f>
        <v>22025</v>
      </c>
      <c r="AI126" s="166">
        <f>BW126</f>
        <v>28970</v>
      </c>
      <c r="AJ126" s="166">
        <f>BY126</f>
        <v>15228</v>
      </c>
      <c r="AK126" s="166">
        <f>CB126</f>
        <v>27228</v>
      </c>
      <c r="AL126" s="166">
        <f>CE126</f>
        <v>20852</v>
      </c>
      <c r="AM126" s="166">
        <f>CH126</f>
        <v>15010</v>
      </c>
      <c r="AN126" s="166">
        <f>CJ126</f>
        <v>50386</v>
      </c>
      <c r="AO126" s="166">
        <f>CC126</f>
        <v>43147</v>
      </c>
      <c r="AP126" s="166">
        <f>CD126</f>
        <v>12194</v>
      </c>
      <c r="AQ126" s="166">
        <f>CK126</f>
        <v>39427</v>
      </c>
      <c r="AR126" s="166">
        <f>CI126</f>
        <v>7845</v>
      </c>
      <c r="AS126" s="166">
        <f>CF126+CG126</f>
        <v>35375</v>
      </c>
      <c r="AT126" s="166">
        <v>279</v>
      </c>
      <c r="AU126" s="166">
        <v>10663</v>
      </c>
      <c r="AV126" s="166">
        <v>11139</v>
      </c>
      <c r="AW126" s="166">
        <v>20788</v>
      </c>
      <c r="AX126" s="166">
        <v>223</v>
      </c>
      <c r="AY126" s="166">
        <v>17637</v>
      </c>
      <c r="AZ126" s="166">
        <v>0</v>
      </c>
      <c r="BA126" s="166">
        <v>6973</v>
      </c>
      <c r="BB126" s="166">
        <v>23307</v>
      </c>
      <c r="BC126" s="166">
        <v>73751</v>
      </c>
      <c r="BD126" s="166">
        <v>47812</v>
      </c>
      <c r="BE126" s="166">
        <v>15643</v>
      </c>
      <c r="BF126" s="166">
        <v>64181</v>
      </c>
      <c r="BG126" s="166">
        <v>1799</v>
      </c>
      <c r="BH126" s="166">
        <v>0</v>
      </c>
      <c r="BI126" s="166">
        <v>2629</v>
      </c>
      <c r="BJ126" s="166">
        <v>3595</v>
      </c>
      <c r="BK126" s="166">
        <v>2067</v>
      </c>
      <c r="BL126" s="166">
        <v>0</v>
      </c>
      <c r="BM126" s="166">
        <v>32508</v>
      </c>
      <c r="BN126" s="166">
        <v>4685</v>
      </c>
      <c r="BO126" s="166">
        <v>281</v>
      </c>
      <c r="BP126" s="166">
        <v>13394</v>
      </c>
      <c r="BQ126" s="166">
        <v>8980</v>
      </c>
      <c r="BR126" s="166">
        <v>15584</v>
      </c>
      <c r="BS126" s="166">
        <v>210</v>
      </c>
      <c r="BT126" s="166">
        <v>5618</v>
      </c>
      <c r="BU126" s="166">
        <v>7961</v>
      </c>
      <c r="BV126" s="166">
        <v>18946</v>
      </c>
      <c r="BW126" s="166">
        <v>28970</v>
      </c>
      <c r="BX126" s="166">
        <v>25072</v>
      </c>
      <c r="BY126" s="166">
        <v>15228</v>
      </c>
      <c r="BZ126" s="166">
        <v>22025</v>
      </c>
      <c r="CA126" s="166">
        <v>6710</v>
      </c>
      <c r="CB126" s="166">
        <v>27228</v>
      </c>
      <c r="CC126" s="166">
        <v>43147</v>
      </c>
      <c r="CD126" s="166">
        <v>12194</v>
      </c>
      <c r="CE126" s="166">
        <v>20852</v>
      </c>
      <c r="CF126" s="166">
        <v>1397</v>
      </c>
      <c r="CG126" s="166">
        <v>33978</v>
      </c>
      <c r="CH126" s="166">
        <v>15010</v>
      </c>
      <c r="CI126" s="166">
        <v>7845</v>
      </c>
      <c r="CJ126" s="166">
        <v>50386</v>
      </c>
      <c r="CK126" s="166">
        <v>39427</v>
      </c>
      <c r="CL126" s="166">
        <v>760122</v>
      </c>
    </row>
    <row r="127" spans="1:90">
      <c r="F127" s="166">
        <f>F126/F35%</f>
        <v>62.946649616588516</v>
      </c>
      <c r="G127" s="166">
        <f>G126/G35%</f>
        <v>42.470501767907514</v>
      </c>
      <c r="H127" s="166">
        <f>H126/H35%</f>
        <v>49.633486139083601</v>
      </c>
      <c r="I127" s="166">
        <f>I126/I35%</f>
        <v>52.657707056925538</v>
      </c>
      <c r="K127" s="166">
        <f t="shared" ref="K127:AP127" si="241">K126/K35%</f>
        <v>99.268413400563006</v>
      </c>
      <c r="L127" s="166">
        <f t="shared" si="241"/>
        <v>69.175556950109822</v>
      </c>
      <c r="M127" s="166">
        <f t="shared" si="241"/>
        <v>70.264233018840187</v>
      </c>
      <c r="N127" s="166">
        <f t="shared" si="241"/>
        <v>73.910260968498903</v>
      </c>
      <c r="O127" s="166">
        <f t="shared" si="241"/>
        <v>59.728904161893858</v>
      </c>
      <c r="P127" s="166">
        <f t="shared" si="241"/>
        <v>12.006474163610379</v>
      </c>
      <c r="Q127" s="166">
        <f t="shared" si="241"/>
        <v>48.340738054220687</v>
      </c>
      <c r="R127" s="166">
        <f t="shared" si="241"/>
        <v>1.4480629993942364</v>
      </c>
      <c r="S127" s="166">
        <f t="shared" si="241"/>
        <v>56.736107573982579</v>
      </c>
      <c r="T127" s="166">
        <f t="shared" si="241"/>
        <v>56.536082474226802</v>
      </c>
      <c r="U127" s="166">
        <f t="shared" si="241"/>
        <v>96.604796772461142</v>
      </c>
      <c r="V127" s="166">
        <f t="shared" si="241"/>
        <v>33.655705996131523</v>
      </c>
      <c r="W127" s="166">
        <f t="shared" si="241"/>
        <v>82.393993866976842</v>
      </c>
      <c r="X127" s="166">
        <f t="shared" si="241"/>
        <v>6.5866613218419605</v>
      </c>
      <c r="Y127" s="166">
        <f t="shared" si="241"/>
        <v>15.782338366602778</v>
      </c>
      <c r="Z127" s="166">
        <f t="shared" si="241"/>
        <v>70.176802020594522</v>
      </c>
      <c r="AA127" s="166">
        <f t="shared" si="241"/>
        <v>45.946616392141294</v>
      </c>
      <c r="AB127" s="166">
        <f t="shared" si="241"/>
        <v>77.637375376767906</v>
      </c>
      <c r="AC127" s="166">
        <f t="shared" si="241"/>
        <v>64.570295397769698</v>
      </c>
      <c r="AD127" s="166">
        <f t="shared" si="241"/>
        <v>35.691548980049312</v>
      </c>
      <c r="AE127" s="166">
        <f t="shared" si="241"/>
        <v>11.176741331696839</v>
      </c>
      <c r="AF127" s="166">
        <f t="shared" si="241"/>
        <v>28.987385519267324</v>
      </c>
      <c r="AG127" s="166">
        <f t="shared" si="241"/>
        <v>34.136936936936934</v>
      </c>
      <c r="AH127" s="166">
        <f t="shared" si="241"/>
        <v>65.443470509582525</v>
      </c>
      <c r="AI127" s="166">
        <f t="shared" si="241"/>
        <v>96.268235137739666</v>
      </c>
      <c r="AJ127" s="166">
        <f t="shared" si="241"/>
        <v>62.795876288659791</v>
      </c>
      <c r="AK127" s="166">
        <f t="shared" si="241"/>
        <v>71.009805967035263</v>
      </c>
      <c r="AL127" s="166">
        <f t="shared" si="241"/>
        <v>61.481306757872389</v>
      </c>
      <c r="AM127" s="166">
        <f t="shared" si="241"/>
        <v>19.664098936225958</v>
      </c>
      <c r="AN127" s="166">
        <f t="shared" si="241"/>
        <v>58.441588568247198</v>
      </c>
      <c r="AO127" s="166">
        <f t="shared" si="241"/>
        <v>101.09655802619555</v>
      </c>
      <c r="AP127" s="166">
        <f t="shared" si="241"/>
        <v>60.687801721992734</v>
      </c>
      <c r="AQ127" s="166">
        <f t="shared" ref="AQ127:BV127" si="242">AQ126/AQ35%</f>
        <v>72.345774156849785</v>
      </c>
      <c r="AR127" s="166">
        <f t="shared" si="242"/>
        <v>23.502097064110245</v>
      </c>
      <c r="AS127" s="166">
        <f t="shared" si="242"/>
        <v>44.937183216676615</v>
      </c>
      <c r="AT127" s="166">
        <f t="shared" si="242"/>
        <v>11.155537784886045</v>
      </c>
      <c r="AU127" s="166">
        <f t="shared" si="242"/>
        <v>48.340738054220687</v>
      </c>
      <c r="AV127" s="166">
        <f t="shared" si="242"/>
        <v>56.736107573982579</v>
      </c>
      <c r="AW127" s="166">
        <f t="shared" si="242"/>
        <v>73.910260968498903</v>
      </c>
      <c r="AX127" s="166">
        <f t="shared" si="242"/>
        <v>0.69327861717341288</v>
      </c>
      <c r="AY127" s="166">
        <f t="shared" si="242"/>
        <v>69.175556950109822</v>
      </c>
      <c r="AZ127" s="166">
        <f t="shared" si="242"/>
        <v>0</v>
      </c>
      <c r="BA127" s="166">
        <f t="shared" si="242"/>
        <v>12.93788036217901</v>
      </c>
      <c r="BB127" s="166">
        <f t="shared" si="242"/>
        <v>56.536082474226802</v>
      </c>
      <c r="BC127" s="166">
        <f t="shared" si="242"/>
        <v>96.604796772461142</v>
      </c>
      <c r="BD127" s="166">
        <f t="shared" si="242"/>
        <v>70.264233018840187</v>
      </c>
      <c r="BE127" s="166">
        <f t="shared" si="242"/>
        <v>59.728904161893858</v>
      </c>
      <c r="BF127" s="166">
        <f t="shared" si="242"/>
        <v>99.268413400563006</v>
      </c>
      <c r="BG127" s="166">
        <f t="shared" si="242"/>
        <v>118.58932102834542</v>
      </c>
      <c r="BH127" s="166">
        <f t="shared" si="242"/>
        <v>0</v>
      </c>
      <c r="BI127" s="166">
        <f t="shared" si="242"/>
        <v>7.0301636538667243</v>
      </c>
      <c r="BJ127" s="166">
        <f t="shared" si="242"/>
        <v>24.776016540317023</v>
      </c>
      <c r="BK127" s="166">
        <f t="shared" si="242"/>
        <v>112.88913162206445</v>
      </c>
      <c r="BL127" s="166">
        <f t="shared" si="242"/>
        <v>0</v>
      </c>
      <c r="BM127" s="166">
        <f t="shared" si="242"/>
        <v>70.176802020594522</v>
      </c>
      <c r="BN127" s="166">
        <f t="shared" si="242"/>
        <v>12.29755623802399</v>
      </c>
      <c r="BO127" s="166">
        <f t="shared" si="242"/>
        <v>27.576054955839059</v>
      </c>
      <c r="BP127" s="166">
        <f t="shared" si="242"/>
        <v>77.637375376767906</v>
      </c>
      <c r="BQ127" s="166">
        <f t="shared" si="242"/>
        <v>46.924805350890942</v>
      </c>
      <c r="BR127" s="166">
        <f t="shared" si="242"/>
        <v>82.393993866976842</v>
      </c>
      <c r="BS127" s="166">
        <f t="shared" si="242"/>
        <v>6.0940220545560067</v>
      </c>
      <c r="BT127" s="166">
        <f t="shared" si="242"/>
        <v>11.536408066039673</v>
      </c>
      <c r="BU127" s="166">
        <f t="shared" si="242"/>
        <v>35.691548980049312</v>
      </c>
      <c r="BV127" s="166">
        <f t="shared" si="242"/>
        <v>34.136936936936934</v>
      </c>
      <c r="BW127" s="166">
        <f t="shared" ref="BW127:CL127" si="243">BW126/BW35%</f>
        <v>96.268235137739666</v>
      </c>
      <c r="BX127" s="166">
        <f t="shared" si="243"/>
        <v>64.570295397769698</v>
      </c>
      <c r="BY127" s="166">
        <f t="shared" si="243"/>
        <v>62.795876288659791</v>
      </c>
      <c r="BZ127" s="166">
        <f t="shared" si="243"/>
        <v>65.443470509582525</v>
      </c>
      <c r="CA127" s="166">
        <f t="shared" si="243"/>
        <v>28.987385519267324</v>
      </c>
      <c r="CB127" s="166">
        <f t="shared" si="243"/>
        <v>71.009805967035263</v>
      </c>
      <c r="CC127" s="166">
        <f t="shared" si="243"/>
        <v>101.09655802619555</v>
      </c>
      <c r="CD127" s="166">
        <f t="shared" si="243"/>
        <v>60.687801721992734</v>
      </c>
      <c r="CE127" s="166">
        <f t="shared" si="243"/>
        <v>61.481306757872389</v>
      </c>
      <c r="CF127" s="166">
        <f t="shared" si="243"/>
        <v>29.761397528760121</v>
      </c>
      <c r="CG127" s="166">
        <f t="shared" si="243"/>
        <v>45.89946911262107</v>
      </c>
      <c r="CH127" s="166">
        <f t="shared" si="243"/>
        <v>19.664098936225958</v>
      </c>
      <c r="CI127" s="166">
        <f t="shared" si="243"/>
        <v>23.502097064110245</v>
      </c>
      <c r="CJ127" s="166">
        <f t="shared" si="243"/>
        <v>58.441588568247198</v>
      </c>
      <c r="CK127" s="166">
        <f t="shared" si="243"/>
        <v>72.345774156849785</v>
      </c>
      <c r="CL127" s="166">
        <f t="shared" si="243"/>
        <v>53.909820509110716</v>
      </c>
    </row>
  </sheetData>
  <phoneticPr fontId="0" type="noConversion"/>
  <printOptions horizontalCentered="1"/>
  <pageMargins left="0.39370078740157483" right="0.39370078740157483" top="0.59055118110236227" bottom="0.59055118110236227" header="0.51181102362204722" footer="0.39370078740157483"/>
  <pageSetup paperSize="8" scale="85" orientation="portrait" r:id="rId1"/>
  <headerFooter alignWithMargins="0"/>
  <rowBreaks count="1" manualBreakCount="1">
    <brk id="98" min="1" max="88"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5"/>
  <sheetViews>
    <sheetView zoomScaleNormal="100" workbookViewId="0">
      <pane xSplit="5" ySplit="4" topLeftCell="F5" activePane="bottomRight" state="frozen"/>
      <selection activeCell="E106" sqref="E106"/>
      <selection pane="topRight" activeCell="E106" sqref="E106"/>
      <selection pane="bottomLeft" activeCell="E106" sqref="E106"/>
      <selection pane="bottomRight" activeCell="F5" sqref="F5"/>
    </sheetView>
  </sheetViews>
  <sheetFormatPr baseColWidth="10" defaultRowHeight="12.75"/>
  <cols>
    <col min="1" max="1" width="4" bestFit="1" customWidth="1"/>
    <col min="2" max="2" width="39" style="66" customWidth="1"/>
    <col min="3" max="3" width="6.85546875" style="238" customWidth="1"/>
    <col min="4" max="4" width="12.5703125" bestFit="1" customWidth="1"/>
    <col min="5" max="5" width="8.7109375" style="79" bestFit="1" customWidth="1"/>
    <col min="6" max="89" width="11.42578125" style="166"/>
    <col min="90" max="90" width="17.85546875" style="166" bestFit="1" customWidth="1"/>
  </cols>
  <sheetData>
    <row r="1" spans="1:91" ht="13.5" thickBot="1">
      <c r="B1" s="81" t="s">
        <v>198</v>
      </c>
      <c r="E1" s="80"/>
    </row>
    <row r="2" spans="1:91">
      <c r="B2" s="94"/>
      <c r="C2" s="239"/>
      <c r="D2" s="95"/>
      <c r="E2" s="341" t="s">
        <v>215</v>
      </c>
      <c r="F2" s="167" t="s">
        <v>149</v>
      </c>
      <c r="G2" s="168" t="s">
        <v>149</v>
      </c>
      <c r="H2" s="168" t="s">
        <v>149</v>
      </c>
      <c r="I2" s="169" t="s">
        <v>149</v>
      </c>
      <c r="J2" s="168"/>
      <c r="K2" s="167" t="s">
        <v>167</v>
      </c>
      <c r="L2" s="168" t="s">
        <v>167</v>
      </c>
      <c r="M2" s="168" t="s">
        <v>167</v>
      </c>
      <c r="N2" s="168" t="s">
        <v>167</v>
      </c>
      <c r="O2" s="168" t="s">
        <v>167</v>
      </c>
      <c r="P2" s="168" t="s">
        <v>167</v>
      </c>
      <c r="Q2" s="168" t="s">
        <v>167</v>
      </c>
      <c r="R2" s="168" t="s">
        <v>167</v>
      </c>
      <c r="S2" s="168" t="s">
        <v>167</v>
      </c>
      <c r="T2" s="168" t="s">
        <v>167</v>
      </c>
      <c r="U2" s="170" t="s">
        <v>167</v>
      </c>
      <c r="V2" s="168" t="s">
        <v>167</v>
      </c>
      <c r="W2" s="168" t="s">
        <v>167</v>
      </c>
      <c r="X2" s="168" t="s">
        <v>167</v>
      </c>
      <c r="Y2" s="168" t="s">
        <v>167</v>
      </c>
      <c r="Z2" s="168" t="s">
        <v>167</v>
      </c>
      <c r="AA2" s="168" t="s">
        <v>167</v>
      </c>
      <c r="AB2" s="170" t="s">
        <v>167</v>
      </c>
      <c r="AC2" s="168" t="s">
        <v>167</v>
      </c>
      <c r="AD2" s="168" t="s">
        <v>167</v>
      </c>
      <c r="AE2" s="168" t="s">
        <v>167</v>
      </c>
      <c r="AF2" s="168" t="s">
        <v>167</v>
      </c>
      <c r="AG2" s="168" t="s">
        <v>167</v>
      </c>
      <c r="AH2" s="168" t="s">
        <v>167</v>
      </c>
      <c r="AI2" s="168" t="s">
        <v>167</v>
      </c>
      <c r="AJ2" s="168" t="s">
        <v>167</v>
      </c>
      <c r="AK2" s="170" t="s">
        <v>167</v>
      </c>
      <c r="AL2" s="168" t="s">
        <v>167</v>
      </c>
      <c r="AM2" s="168" t="s">
        <v>167</v>
      </c>
      <c r="AN2" s="168" t="s">
        <v>167</v>
      </c>
      <c r="AO2" s="168" t="s">
        <v>167</v>
      </c>
      <c r="AP2" s="168" t="s">
        <v>167</v>
      </c>
      <c r="AQ2" s="168" t="s">
        <v>167</v>
      </c>
      <c r="AR2" s="168" t="s">
        <v>167</v>
      </c>
      <c r="AS2" s="169" t="s">
        <v>167</v>
      </c>
      <c r="AT2" s="168" t="s">
        <v>111</v>
      </c>
      <c r="AU2" s="168" t="s">
        <v>112</v>
      </c>
      <c r="AV2" s="168" t="s">
        <v>112</v>
      </c>
      <c r="AW2" s="168" t="s">
        <v>112</v>
      </c>
      <c r="AX2" s="168" t="s">
        <v>112</v>
      </c>
      <c r="AY2" s="168" t="s">
        <v>112</v>
      </c>
      <c r="AZ2" s="168" t="s">
        <v>111</v>
      </c>
      <c r="BA2" s="168" t="s">
        <v>112</v>
      </c>
      <c r="BB2" s="168" t="s">
        <v>112</v>
      </c>
      <c r="BC2" s="168" t="s">
        <v>112</v>
      </c>
      <c r="BD2" s="168" t="s">
        <v>112</v>
      </c>
      <c r="BE2" s="168" t="s">
        <v>112</v>
      </c>
      <c r="BF2" s="170" t="s">
        <v>112</v>
      </c>
      <c r="BG2" s="168" t="s">
        <v>111</v>
      </c>
      <c r="BH2" s="168" t="s">
        <v>111</v>
      </c>
      <c r="BI2" s="168" t="s">
        <v>112</v>
      </c>
      <c r="BJ2" s="168" t="s">
        <v>112</v>
      </c>
      <c r="BK2" s="168" t="s">
        <v>111</v>
      </c>
      <c r="BL2" s="168" t="s">
        <v>111</v>
      </c>
      <c r="BM2" s="168" t="s">
        <v>112</v>
      </c>
      <c r="BN2" s="168" t="s">
        <v>112</v>
      </c>
      <c r="BO2" s="168" t="s">
        <v>111</v>
      </c>
      <c r="BP2" s="168" t="s">
        <v>112</v>
      </c>
      <c r="BQ2" s="168" t="s">
        <v>112</v>
      </c>
      <c r="BR2" s="170" t="s">
        <v>112</v>
      </c>
      <c r="BS2" s="168" t="s">
        <v>111</v>
      </c>
      <c r="BT2" s="168" t="s">
        <v>112</v>
      </c>
      <c r="BU2" s="168" t="s">
        <v>112</v>
      </c>
      <c r="BV2" s="168" t="s">
        <v>112</v>
      </c>
      <c r="BW2" s="168" t="s">
        <v>112</v>
      </c>
      <c r="BX2" s="168" t="s">
        <v>112</v>
      </c>
      <c r="BY2" s="168" t="s">
        <v>112</v>
      </c>
      <c r="BZ2" s="168" t="s">
        <v>112</v>
      </c>
      <c r="CA2" s="168" t="s">
        <v>112</v>
      </c>
      <c r="CB2" s="170" t="s">
        <v>112</v>
      </c>
      <c r="CC2" s="168" t="s">
        <v>112</v>
      </c>
      <c r="CD2" s="168" t="s">
        <v>112</v>
      </c>
      <c r="CE2" s="168" t="s">
        <v>112</v>
      </c>
      <c r="CF2" s="168" t="s">
        <v>111</v>
      </c>
      <c r="CG2" s="168" t="s">
        <v>112</v>
      </c>
      <c r="CH2" s="168" t="s">
        <v>112</v>
      </c>
      <c r="CI2" s="168" t="s">
        <v>112</v>
      </c>
      <c r="CJ2" s="168" t="s">
        <v>112</v>
      </c>
      <c r="CK2" s="169" t="s">
        <v>112</v>
      </c>
      <c r="CL2" s="171" t="s">
        <v>150</v>
      </c>
    </row>
    <row r="3" spans="1:91">
      <c r="B3" s="97" t="s">
        <v>102</v>
      </c>
      <c r="C3" s="240"/>
      <c r="D3" s="98"/>
      <c r="E3" s="302"/>
      <c r="F3" s="172" t="s">
        <v>110</v>
      </c>
      <c r="G3" s="173" t="s">
        <v>125</v>
      </c>
      <c r="H3" s="173" t="s">
        <v>132</v>
      </c>
      <c r="I3" s="174" t="s">
        <v>142</v>
      </c>
      <c r="J3" s="173"/>
      <c r="K3" s="290">
        <v>1101</v>
      </c>
      <c r="L3" s="291">
        <v>1110</v>
      </c>
      <c r="M3" s="291">
        <v>1121</v>
      </c>
      <c r="N3" s="291">
        <v>1130</v>
      </c>
      <c r="O3" s="291">
        <v>1140</v>
      </c>
      <c r="P3" s="291">
        <v>1150</v>
      </c>
      <c r="Q3" s="291">
        <v>1161</v>
      </c>
      <c r="R3" s="291">
        <v>1170</v>
      </c>
      <c r="S3" s="291">
        <v>1180</v>
      </c>
      <c r="T3" s="291">
        <v>1190</v>
      </c>
      <c r="U3" s="292">
        <v>1200</v>
      </c>
      <c r="V3" s="291">
        <v>2100</v>
      </c>
      <c r="W3" s="291">
        <v>2110</v>
      </c>
      <c r="X3" s="291">
        <v>2121</v>
      </c>
      <c r="Y3" s="291">
        <v>2131</v>
      </c>
      <c r="Z3" s="291">
        <v>2141</v>
      </c>
      <c r="AA3" s="291">
        <v>2150</v>
      </c>
      <c r="AB3" s="292">
        <v>2160</v>
      </c>
      <c r="AC3" s="291">
        <v>3100</v>
      </c>
      <c r="AD3" s="291">
        <v>3110</v>
      </c>
      <c r="AE3" s="291">
        <v>3120</v>
      </c>
      <c r="AF3" s="291">
        <v>3130</v>
      </c>
      <c r="AG3" s="291">
        <v>3140</v>
      </c>
      <c r="AH3" s="291">
        <v>3151</v>
      </c>
      <c r="AI3" s="291">
        <v>3160</v>
      </c>
      <c r="AJ3" s="291">
        <v>3170</v>
      </c>
      <c r="AK3" s="292">
        <v>3180</v>
      </c>
      <c r="AL3" s="291">
        <v>4100</v>
      </c>
      <c r="AM3" s="291">
        <v>4110</v>
      </c>
      <c r="AN3" s="291">
        <v>4120</v>
      </c>
      <c r="AO3" s="291">
        <v>4131</v>
      </c>
      <c r="AP3" s="291">
        <v>4140</v>
      </c>
      <c r="AQ3" s="291">
        <v>4150</v>
      </c>
      <c r="AR3" s="291">
        <v>4160</v>
      </c>
      <c r="AS3" s="293">
        <v>4170</v>
      </c>
      <c r="AT3" s="173" t="s">
        <v>110</v>
      </c>
      <c r="AU3" s="173" t="s">
        <v>114</v>
      </c>
      <c r="AV3" s="173" t="s">
        <v>115</v>
      </c>
      <c r="AW3" s="173" t="s">
        <v>116</v>
      </c>
      <c r="AX3" s="173" t="s">
        <v>113</v>
      </c>
      <c r="AY3" s="173" t="s">
        <v>117</v>
      </c>
      <c r="AZ3" s="173" t="s">
        <v>118</v>
      </c>
      <c r="BA3" s="173" t="s">
        <v>118</v>
      </c>
      <c r="BB3" s="173" t="s">
        <v>119</v>
      </c>
      <c r="BC3" s="173" t="s">
        <v>120</v>
      </c>
      <c r="BD3" s="173" t="s">
        <v>121</v>
      </c>
      <c r="BE3" s="173" t="s">
        <v>122</v>
      </c>
      <c r="BF3" s="175" t="s">
        <v>257</v>
      </c>
      <c r="BG3" s="173" t="s">
        <v>123</v>
      </c>
      <c r="BH3" s="173" t="s">
        <v>125</v>
      </c>
      <c r="BI3" s="173" t="s">
        <v>125</v>
      </c>
      <c r="BJ3" s="173" t="s">
        <v>124</v>
      </c>
      <c r="BK3" s="173" t="s">
        <v>126</v>
      </c>
      <c r="BL3" s="173" t="s">
        <v>127</v>
      </c>
      <c r="BM3" s="173" t="s">
        <v>128</v>
      </c>
      <c r="BN3" s="173" t="s">
        <v>126</v>
      </c>
      <c r="BO3" s="173" t="s">
        <v>129</v>
      </c>
      <c r="BP3" s="173" t="s">
        <v>130</v>
      </c>
      <c r="BQ3" s="173" t="s">
        <v>129</v>
      </c>
      <c r="BR3" s="175" t="s">
        <v>131</v>
      </c>
      <c r="BS3" s="173" t="s">
        <v>132</v>
      </c>
      <c r="BT3" s="173" t="s">
        <v>132</v>
      </c>
      <c r="BU3" s="173" t="s">
        <v>133</v>
      </c>
      <c r="BV3" s="173" t="s">
        <v>134</v>
      </c>
      <c r="BW3" s="173" t="s">
        <v>135</v>
      </c>
      <c r="BX3" s="173" t="s">
        <v>136</v>
      </c>
      <c r="BY3" s="173" t="s">
        <v>137</v>
      </c>
      <c r="BZ3" s="173" t="s">
        <v>138</v>
      </c>
      <c r="CA3" s="173" t="s">
        <v>139</v>
      </c>
      <c r="CB3" s="175" t="s">
        <v>140</v>
      </c>
      <c r="CC3" s="173" t="s">
        <v>141</v>
      </c>
      <c r="CD3" s="173" t="s">
        <v>142</v>
      </c>
      <c r="CE3" s="173" t="s">
        <v>143</v>
      </c>
      <c r="CF3" s="173" t="s">
        <v>144</v>
      </c>
      <c r="CG3" s="173" t="s">
        <v>144</v>
      </c>
      <c r="CH3" s="173" t="s">
        <v>145</v>
      </c>
      <c r="CI3" s="173" t="s">
        <v>146</v>
      </c>
      <c r="CJ3" s="173" t="s">
        <v>147</v>
      </c>
      <c r="CK3" s="174" t="s">
        <v>148</v>
      </c>
      <c r="CL3" s="176" t="s">
        <v>151</v>
      </c>
    </row>
    <row r="4" spans="1:91">
      <c r="B4" s="97"/>
      <c r="C4" s="240"/>
      <c r="D4" s="98"/>
      <c r="E4" s="302"/>
      <c r="F4" s="172" t="s">
        <v>163</v>
      </c>
      <c r="G4" s="173" t="s">
        <v>164</v>
      </c>
      <c r="H4" s="173" t="s">
        <v>165</v>
      </c>
      <c r="I4" s="174" t="s">
        <v>166</v>
      </c>
      <c r="J4" s="173"/>
      <c r="K4" s="172" t="s">
        <v>168</v>
      </c>
      <c r="L4" s="173" t="s">
        <v>169</v>
      </c>
      <c r="M4" s="173" t="s">
        <v>170</v>
      </c>
      <c r="N4" s="173" t="s">
        <v>27</v>
      </c>
      <c r="O4" s="173" t="s">
        <v>40</v>
      </c>
      <c r="P4" s="173" t="s">
        <v>244</v>
      </c>
      <c r="Q4" s="173" t="s">
        <v>219</v>
      </c>
      <c r="R4" s="173" t="s">
        <v>243</v>
      </c>
      <c r="S4" s="173" t="s">
        <v>218</v>
      </c>
      <c r="T4" s="173" t="s">
        <v>171</v>
      </c>
      <c r="U4" s="175" t="s">
        <v>172</v>
      </c>
      <c r="V4" s="173" t="s">
        <v>242</v>
      </c>
      <c r="W4" s="173" t="s">
        <v>173</v>
      </c>
      <c r="X4" s="173" t="s">
        <v>241</v>
      </c>
      <c r="Y4" s="173" t="s">
        <v>240</v>
      </c>
      <c r="Z4" s="173" t="s">
        <v>174</v>
      </c>
      <c r="AA4" s="173" t="s">
        <v>239</v>
      </c>
      <c r="AB4" s="175" t="s">
        <v>16</v>
      </c>
      <c r="AC4" s="173" t="s">
        <v>175</v>
      </c>
      <c r="AD4" s="173" t="s">
        <v>37</v>
      </c>
      <c r="AE4" s="173" t="s">
        <v>238</v>
      </c>
      <c r="AF4" s="173" t="s">
        <v>33</v>
      </c>
      <c r="AG4" s="173" t="s">
        <v>176</v>
      </c>
      <c r="AH4" s="173" t="s">
        <v>177</v>
      </c>
      <c r="AI4" s="173" t="s">
        <v>36</v>
      </c>
      <c r="AJ4" s="173" t="s">
        <v>35</v>
      </c>
      <c r="AK4" s="175" t="s">
        <v>32</v>
      </c>
      <c r="AL4" s="173" t="s">
        <v>178</v>
      </c>
      <c r="AM4" s="173" t="s">
        <v>25</v>
      </c>
      <c r="AN4" s="173" t="s">
        <v>29</v>
      </c>
      <c r="AO4" s="173" t="s">
        <v>179</v>
      </c>
      <c r="AP4" s="173" t="s">
        <v>30</v>
      </c>
      <c r="AQ4" s="173" t="s">
        <v>24</v>
      </c>
      <c r="AR4" s="173" t="s">
        <v>180</v>
      </c>
      <c r="AS4" s="174" t="s">
        <v>237</v>
      </c>
      <c r="AT4" s="173" t="s">
        <v>154</v>
      </c>
      <c r="AU4" s="173" t="s">
        <v>183</v>
      </c>
      <c r="AV4" s="173" t="s">
        <v>184</v>
      </c>
      <c r="AW4" s="173" t="s">
        <v>185</v>
      </c>
      <c r="AX4" s="173" t="s">
        <v>182</v>
      </c>
      <c r="AY4" s="173" t="s">
        <v>44</v>
      </c>
      <c r="AZ4" s="173" t="s">
        <v>152</v>
      </c>
      <c r="BA4" s="173" t="s">
        <v>153</v>
      </c>
      <c r="BB4" s="173" t="s">
        <v>45</v>
      </c>
      <c r="BC4" s="173" t="s">
        <v>26</v>
      </c>
      <c r="BD4" s="173" t="s">
        <v>46</v>
      </c>
      <c r="BE4" s="173" t="s">
        <v>186</v>
      </c>
      <c r="BF4" s="175" t="s">
        <v>39</v>
      </c>
      <c r="BG4" s="173" t="s">
        <v>155</v>
      </c>
      <c r="BH4" s="173" t="s">
        <v>156</v>
      </c>
      <c r="BI4" s="173" t="s">
        <v>157</v>
      </c>
      <c r="BJ4" s="173" t="s">
        <v>187</v>
      </c>
      <c r="BK4" s="173" t="s">
        <v>158</v>
      </c>
      <c r="BL4" s="173" t="s">
        <v>159</v>
      </c>
      <c r="BM4" s="173" t="s">
        <v>47</v>
      </c>
      <c r="BN4" s="173" t="s">
        <v>48</v>
      </c>
      <c r="BO4" s="173" t="s">
        <v>160</v>
      </c>
      <c r="BP4" s="173" t="s">
        <v>188</v>
      </c>
      <c r="BQ4" s="173" t="s">
        <v>41</v>
      </c>
      <c r="BR4" s="175" t="s">
        <v>38</v>
      </c>
      <c r="BS4" s="173" t="s">
        <v>161</v>
      </c>
      <c r="BT4" s="173" t="s">
        <v>213</v>
      </c>
      <c r="BU4" s="173" t="s">
        <v>189</v>
      </c>
      <c r="BV4" s="173" t="s">
        <v>28</v>
      </c>
      <c r="BW4" s="173" t="s">
        <v>190</v>
      </c>
      <c r="BX4" s="173" t="s">
        <v>49</v>
      </c>
      <c r="BY4" s="173" t="s">
        <v>191</v>
      </c>
      <c r="BZ4" s="173" t="s">
        <v>34</v>
      </c>
      <c r="CA4" s="173" t="s">
        <v>192</v>
      </c>
      <c r="CB4" s="175" t="s">
        <v>193</v>
      </c>
      <c r="CC4" s="173" t="s">
        <v>31</v>
      </c>
      <c r="CD4" s="173" t="s">
        <v>194</v>
      </c>
      <c r="CE4" s="173" t="s">
        <v>50</v>
      </c>
      <c r="CF4" s="173" t="s">
        <v>162</v>
      </c>
      <c r="CG4" s="173" t="s">
        <v>51</v>
      </c>
      <c r="CH4" s="173" t="s">
        <v>195</v>
      </c>
      <c r="CI4" s="173" t="s">
        <v>52</v>
      </c>
      <c r="CJ4" s="173" t="s">
        <v>196</v>
      </c>
      <c r="CK4" s="174" t="s">
        <v>197</v>
      </c>
      <c r="CL4" s="176" t="s">
        <v>55</v>
      </c>
    </row>
    <row r="5" spans="1:91">
      <c r="A5" s="93">
        <f>ROWS($A$3:A3)</f>
        <v>1</v>
      </c>
      <c r="B5" s="132"/>
      <c r="C5" s="133"/>
      <c r="D5" s="326"/>
      <c r="E5" s="327"/>
      <c r="F5" s="232">
        <f>COLUMNS($F$5:F5)</f>
        <v>1</v>
      </c>
      <c r="G5" s="232">
        <f>COLUMNS($F$5:G5)</f>
        <v>2</v>
      </c>
      <c r="H5" s="232">
        <f>COLUMNS($F$5:H5)</f>
        <v>3</v>
      </c>
      <c r="I5" s="233">
        <f>COLUMNS($F$5:I5)</f>
        <v>4</v>
      </c>
      <c r="J5" s="235">
        <f>COLUMNS($F$5:J5)</f>
        <v>5</v>
      </c>
      <c r="K5" s="232">
        <f>COLUMNS($F$5:K5)</f>
        <v>6</v>
      </c>
      <c r="L5" s="232">
        <f>COLUMNS($F$5:L5)</f>
        <v>7</v>
      </c>
      <c r="M5" s="232">
        <f>COLUMNS($F$5:M5)</f>
        <v>8</v>
      </c>
      <c r="N5" s="232">
        <f>COLUMNS($F$5:N5)</f>
        <v>9</v>
      </c>
      <c r="O5" s="232">
        <f>COLUMNS($F$5:O5)</f>
        <v>10</v>
      </c>
      <c r="P5" s="232">
        <f>COLUMNS($F$5:P5)</f>
        <v>11</v>
      </c>
      <c r="Q5" s="232">
        <f>COLUMNS($F$5:Q5)</f>
        <v>12</v>
      </c>
      <c r="R5" s="232">
        <f>COLUMNS($F$5:R5)</f>
        <v>13</v>
      </c>
      <c r="S5" s="232">
        <f>COLUMNS($F$5:S5)</f>
        <v>14</v>
      </c>
      <c r="T5" s="232">
        <f>COLUMNS($F$5:T5)</f>
        <v>15</v>
      </c>
      <c r="U5" s="234">
        <f>COLUMNS($F$5:U5)</f>
        <v>16</v>
      </c>
      <c r="V5" s="232">
        <f>COLUMNS($F$5:V5)</f>
        <v>17</v>
      </c>
      <c r="W5" s="232">
        <f>COLUMNS($F$5:W5)</f>
        <v>18</v>
      </c>
      <c r="X5" s="232">
        <f>COLUMNS($F$5:X5)</f>
        <v>19</v>
      </c>
      <c r="Y5" s="232">
        <f>COLUMNS($F$5:Y5)</f>
        <v>20</v>
      </c>
      <c r="Z5" s="232">
        <f>COLUMNS($F$5:Z5)</f>
        <v>21</v>
      </c>
      <c r="AA5" s="232">
        <f>COLUMNS($F$5:AA5)</f>
        <v>22</v>
      </c>
      <c r="AB5" s="234">
        <f>COLUMNS($F$5:AB5)</f>
        <v>23</v>
      </c>
      <c r="AC5" s="232">
        <f>COLUMNS($F$5:AC5)</f>
        <v>24</v>
      </c>
      <c r="AD5" s="232">
        <f>COLUMNS($F$5:AD5)</f>
        <v>25</v>
      </c>
      <c r="AE5" s="232">
        <f>COLUMNS($F$5:AE5)</f>
        <v>26</v>
      </c>
      <c r="AF5" s="232">
        <f>COLUMNS($F$5:AF5)</f>
        <v>27</v>
      </c>
      <c r="AG5" s="232">
        <f>COLUMNS($F$5:AG5)</f>
        <v>28</v>
      </c>
      <c r="AH5" s="232">
        <f>COLUMNS($F$5:AH5)</f>
        <v>29</v>
      </c>
      <c r="AI5" s="232">
        <f>COLUMNS($F$5:AI5)</f>
        <v>30</v>
      </c>
      <c r="AJ5" s="232">
        <f>COLUMNS($F$5:AJ5)</f>
        <v>31</v>
      </c>
      <c r="AK5" s="234">
        <f>COLUMNS($F$5:AK5)</f>
        <v>32</v>
      </c>
      <c r="AL5" s="232">
        <f>COLUMNS($F$5:AL5)</f>
        <v>33</v>
      </c>
      <c r="AM5" s="232">
        <f>COLUMNS($F$5:AM5)</f>
        <v>34</v>
      </c>
      <c r="AN5" s="232">
        <f>COLUMNS($F$5:AN5)</f>
        <v>35</v>
      </c>
      <c r="AO5" s="232">
        <f>COLUMNS($F$5:AO5)</f>
        <v>36</v>
      </c>
      <c r="AP5" s="232">
        <f>COLUMNS($F$5:AP5)</f>
        <v>37</v>
      </c>
      <c r="AQ5" s="232">
        <f>COLUMNS($F$5:AQ5)</f>
        <v>38</v>
      </c>
      <c r="AR5" s="232">
        <f>COLUMNS($F$5:AR5)</f>
        <v>39</v>
      </c>
      <c r="AS5" s="233">
        <f>COLUMNS($F$5:AS5)</f>
        <v>40</v>
      </c>
      <c r="AT5" s="232">
        <f>COLUMNS($F$5:AT5)</f>
        <v>41</v>
      </c>
      <c r="AU5" s="232">
        <f>COLUMNS($F$5:AU5)</f>
        <v>42</v>
      </c>
      <c r="AV5" s="232">
        <f>COLUMNS($F$5:AV5)</f>
        <v>43</v>
      </c>
      <c r="AW5" s="232">
        <f>COLUMNS($F$5:AW5)</f>
        <v>44</v>
      </c>
      <c r="AX5" s="232">
        <f>COLUMNS($F$5:AX5)</f>
        <v>45</v>
      </c>
      <c r="AY5" s="232">
        <f>COLUMNS($F$5:AY5)</f>
        <v>46</v>
      </c>
      <c r="AZ5" s="232">
        <f>COLUMNS($F$5:AZ5)</f>
        <v>47</v>
      </c>
      <c r="BA5" s="232">
        <f>COLUMNS($F$5:BA5)</f>
        <v>48</v>
      </c>
      <c r="BB5" s="232">
        <f>COLUMNS($F$5:BB5)</f>
        <v>49</v>
      </c>
      <c r="BC5" s="232">
        <f>COLUMNS($F$5:BC5)</f>
        <v>50</v>
      </c>
      <c r="BD5" s="232">
        <f>COLUMNS($F$5:BD5)</f>
        <v>51</v>
      </c>
      <c r="BE5" s="232">
        <f>COLUMNS($F$5:BE5)</f>
        <v>52</v>
      </c>
      <c r="BF5" s="234">
        <f>COLUMNS($F$5:BF5)</f>
        <v>53</v>
      </c>
      <c r="BG5" s="232">
        <f>COLUMNS($F$5:BG5)</f>
        <v>54</v>
      </c>
      <c r="BH5" s="232">
        <f>COLUMNS($F$5:BH5)</f>
        <v>55</v>
      </c>
      <c r="BI5" s="232">
        <f>COLUMNS($F$5:BI5)</f>
        <v>56</v>
      </c>
      <c r="BJ5" s="232">
        <f>COLUMNS($F$5:BJ5)</f>
        <v>57</v>
      </c>
      <c r="BK5" s="232">
        <f>COLUMNS($F$5:BK5)</f>
        <v>58</v>
      </c>
      <c r="BL5" s="232">
        <f>COLUMNS($F$5:BL5)</f>
        <v>59</v>
      </c>
      <c r="BM5" s="232">
        <f>COLUMNS($F$5:BM5)</f>
        <v>60</v>
      </c>
      <c r="BN5" s="232">
        <f>COLUMNS($F$5:BN5)</f>
        <v>61</v>
      </c>
      <c r="BO5" s="232">
        <f>COLUMNS($F$5:BO5)</f>
        <v>62</v>
      </c>
      <c r="BP5" s="232">
        <f>COLUMNS($F$5:BP5)</f>
        <v>63</v>
      </c>
      <c r="BQ5" s="232">
        <f>COLUMNS($F$5:BQ5)</f>
        <v>64</v>
      </c>
      <c r="BR5" s="234">
        <f>COLUMNS($F$5:BR5)</f>
        <v>65</v>
      </c>
      <c r="BS5" s="232">
        <f>COLUMNS($F$5:BS5)</f>
        <v>66</v>
      </c>
      <c r="BT5" s="232">
        <f>COLUMNS($F$5:BT5)</f>
        <v>67</v>
      </c>
      <c r="BU5" s="232">
        <f>COLUMNS($F$5:BU5)</f>
        <v>68</v>
      </c>
      <c r="BV5" s="232">
        <f>COLUMNS($F$5:BV5)</f>
        <v>69</v>
      </c>
      <c r="BW5" s="232">
        <f>COLUMNS($F$5:BW5)</f>
        <v>70</v>
      </c>
      <c r="BX5" s="232">
        <f>COLUMNS($F$5:BX5)</f>
        <v>71</v>
      </c>
      <c r="BY5" s="232">
        <f>COLUMNS($F$5:BY5)</f>
        <v>72</v>
      </c>
      <c r="BZ5" s="232">
        <f>COLUMNS($F$5:BZ5)</f>
        <v>73</v>
      </c>
      <c r="CA5" s="232">
        <f>COLUMNS($F$5:CA5)</f>
        <v>74</v>
      </c>
      <c r="CB5" s="234">
        <f>COLUMNS($F$5:CB5)</f>
        <v>75</v>
      </c>
      <c r="CC5" s="232">
        <f>COLUMNS($F$5:CC5)</f>
        <v>76</v>
      </c>
      <c r="CD5" s="232">
        <f>COLUMNS($F$5:CD5)</f>
        <v>77</v>
      </c>
      <c r="CE5" s="232">
        <f>COLUMNS($F$5:CE5)</f>
        <v>78</v>
      </c>
      <c r="CF5" s="232">
        <f>COLUMNS($F$5:CF5)</f>
        <v>79</v>
      </c>
      <c r="CG5" s="232">
        <f>COLUMNS($F$5:CG5)</f>
        <v>80</v>
      </c>
      <c r="CH5" s="232">
        <f>COLUMNS($F$5:CH5)</f>
        <v>81</v>
      </c>
      <c r="CI5" s="232">
        <f>COLUMNS($F$5:CI5)</f>
        <v>82</v>
      </c>
      <c r="CJ5" s="232">
        <f>COLUMNS($F$5:CJ5)</f>
        <v>83</v>
      </c>
      <c r="CK5" s="233">
        <f>COLUMNS($F$5:CK5)</f>
        <v>84</v>
      </c>
      <c r="CL5" s="233">
        <f>COLUMNS($F$5:CL5)</f>
        <v>85</v>
      </c>
      <c r="CM5" s="131"/>
    </row>
    <row r="6" spans="1:91">
      <c r="A6" s="93">
        <f>ROWS($A$3:A4)</f>
        <v>2</v>
      </c>
      <c r="B6" s="67" t="s">
        <v>108</v>
      </c>
      <c r="C6" s="241"/>
      <c r="D6" s="321"/>
      <c r="E6" s="320"/>
      <c r="F6" s="156"/>
      <c r="G6" s="177"/>
      <c r="H6" s="177"/>
      <c r="I6" s="178"/>
      <c r="J6" s="177"/>
      <c r="K6" s="156"/>
      <c r="L6" s="177"/>
      <c r="M6" s="177"/>
      <c r="N6" s="177"/>
      <c r="O6" s="177"/>
      <c r="P6" s="177"/>
      <c r="Q6" s="177"/>
      <c r="R6" s="177"/>
      <c r="S6" s="177"/>
      <c r="T6" s="177"/>
      <c r="U6" s="179"/>
      <c r="V6" s="177"/>
      <c r="W6" s="177"/>
      <c r="X6" s="177"/>
      <c r="Y6" s="177"/>
      <c r="Z6" s="177"/>
      <c r="AA6" s="177"/>
      <c r="AB6" s="179"/>
      <c r="AC6" s="177"/>
      <c r="AD6" s="177"/>
      <c r="AE6" s="177"/>
      <c r="AF6" s="177"/>
      <c r="AG6" s="177"/>
      <c r="AH6" s="177"/>
      <c r="AI6" s="177"/>
      <c r="AJ6" s="177"/>
      <c r="AK6" s="179"/>
      <c r="AL6" s="177"/>
      <c r="AM6" s="177"/>
      <c r="AN6" s="177"/>
      <c r="AO6" s="177"/>
      <c r="AP6" s="177"/>
      <c r="AQ6" s="177"/>
      <c r="AR6" s="177"/>
      <c r="AS6" s="178"/>
      <c r="AT6" s="177"/>
      <c r="AU6" s="177"/>
      <c r="AV6" s="177"/>
      <c r="AW6" s="177"/>
      <c r="AX6" s="177"/>
      <c r="AY6" s="177"/>
      <c r="AZ6" s="177"/>
      <c r="BA6" s="177"/>
      <c r="BB6" s="177"/>
      <c r="BC6" s="177"/>
      <c r="BD6" s="177"/>
      <c r="BE6" s="177"/>
      <c r="BF6" s="179"/>
      <c r="BG6" s="177"/>
      <c r="BH6" s="177"/>
      <c r="BI6" s="177"/>
      <c r="BJ6" s="177"/>
      <c r="BK6" s="177"/>
      <c r="BL6" s="177"/>
      <c r="BM6" s="177"/>
      <c r="BN6" s="177"/>
      <c r="BO6" s="177"/>
      <c r="BP6" s="177"/>
      <c r="BQ6" s="177"/>
      <c r="BR6" s="179"/>
      <c r="BS6" s="177"/>
      <c r="BT6" s="177"/>
      <c r="BU6" s="177"/>
      <c r="BV6" s="177"/>
      <c r="BW6" s="177"/>
      <c r="BX6" s="177"/>
      <c r="BY6" s="177"/>
      <c r="BZ6" s="177"/>
      <c r="CA6" s="177"/>
      <c r="CB6" s="179"/>
      <c r="CC6" s="177"/>
      <c r="CD6" s="177"/>
      <c r="CE6" s="177"/>
      <c r="CF6" s="177"/>
      <c r="CG6" s="177"/>
      <c r="CH6" s="177"/>
      <c r="CI6" s="177"/>
      <c r="CJ6" s="177"/>
      <c r="CK6" s="178"/>
      <c r="CL6" s="180"/>
    </row>
    <row r="7" spans="1:91">
      <c r="A7" s="93">
        <f>ROWS($A$3:A5)</f>
        <v>3</v>
      </c>
      <c r="B7" s="106" t="s">
        <v>63</v>
      </c>
      <c r="C7" s="242">
        <v>2010</v>
      </c>
      <c r="D7" s="319" t="s">
        <v>1</v>
      </c>
      <c r="E7" s="320"/>
      <c r="F7" s="156">
        <v>1055770</v>
      </c>
      <c r="G7" s="177">
        <v>691908</v>
      </c>
      <c r="H7" s="177">
        <v>934708</v>
      </c>
      <c r="I7" s="178">
        <v>891767</v>
      </c>
      <c r="J7" s="177"/>
      <c r="K7" s="156">
        <f t="shared" ref="K7:K20" si="0">BF7</f>
        <v>151158</v>
      </c>
      <c r="L7" s="177">
        <f t="shared" ref="L7:L20" si="1">AY7</f>
        <v>85814</v>
      </c>
      <c r="M7" s="177">
        <f t="shared" ref="M7:M20" si="2">BD7</f>
        <v>130441</v>
      </c>
      <c r="N7" s="177">
        <f t="shared" ref="N7:N20" si="3">AW7</f>
        <v>64237</v>
      </c>
      <c r="O7" s="177">
        <f t="shared" ref="O7:O20" si="4">BE7</f>
        <v>62712</v>
      </c>
      <c r="P7" s="177">
        <f t="shared" ref="P7:P13" si="5">AZ7+BA7</f>
        <v>119981</v>
      </c>
      <c r="Q7" s="177">
        <f>'2010'!AU7</f>
        <v>61785</v>
      </c>
      <c r="R7" s="177">
        <f>AT7+AX7</f>
        <v>89417</v>
      </c>
      <c r="S7" s="177">
        <f t="shared" ref="S7:S20" si="6">AV7</f>
        <v>64148</v>
      </c>
      <c r="T7" s="177">
        <f t="shared" ref="T7:T20" si="7">BB7</f>
        <v>77676</v>
      </c>
      <c r="U7" s="179">
        <f t="shared" ref="U7:U20" si="8">BC7</f>
        <v>148401</v>
      </c>
      <c r="V7" s="177">
        <f t="shared" ref="V7:V13" si="9">BG7+BJ7</f>
        <v>87896</v>
      </c>
      <c r="W7" s="177">
        <f t="shared" ref="W7:W20" si="10">BR7</f>
        <v>87068</v>
      </c>
      <c r="X7" s="177">
        <f t="shared" ref="X7:X13" si="11">BH7+BI7</f>
        <v>125846</v>
      </c>
      <c r="Y7" s="177">
        <f t="shared" ref="Y7:Y13" si="12">BK7+BL7+BN7</f>
        <v>131550</v>
      </c>
      <c r="Z7" s="177">
        <f t="shared" ref="Z7:Z20" si="13">BM7</f>
        <v>112628</v>
      </c>
      <c r="AA7" s="177">
        <f t="shared" ref="AA7:AA13" si="14">BO7+BQ7</f>
        <v>67168</v>
      </c>
      <c r="AB7" s="179">
        <f t="shared" ref="AB7:AB20" si="15">BP7</f>
        <v>79751</v>
      </c>
      <c r="AC7" s="177">
        <f t="shared" ref="AC7:AC20" si="16">BX7</f>
        <v>102527</v>
      </c>
      <c r="AD7" s="177">
        <f t="shared" ref="AD7:AD20" si="17">BU7</f>
        <v>67988</v>
      </c>
      <c r="AE7" s="177">
        <f t="shared" ref="AE7:AE13" si="18">BS7+BT7</f>
        <v>153139</v>
      </c>
      <c r="AF7" s="177">
        <f t="shared" ref="AF7:AF20" si="19">CA7</f>
        <v>80677</v>
      </c>
      <c r="AG7" s="177">
        <f t="shared" ref="AG7:AG20" si="20">BV7</f>
        <v>185085</v>
      </c>
      <c r="AH7" s="177">
        <f t="shared" ref="AH7:AH20" si="21">BZ7</f>
        <v>81798</v>
      </c>
      <c r="AI7" s="177">
        <f t="shared" ref="AI7:AI20" si="22">BW7</f>
        <v>76943</v>
      </c>
      <c r="AJ7" s="177">
        <f t="shared" ref="AJ7:AJ20" si="23">BY7</f>
        <v>73435</v>
      </c>
      <c r="AK7" s="179">
        <f t="shared" ref="AK7:AK20" si="24">CB7</f>
        <v>113116</v>
      </c>
      <c r="AL7" s="177">
        <f t="shared" ref="AL7:AL20" si="25">CE7</f>
        <v>91772</v>
      </c>
      <c r="AM7" s="177">
        <f t="shared" ref="AM7:AM20" si="26">CH7</f>
        <v>140975</v>
      </c>
      <c r="AN7" s="177">
        <f t="shared" ref="AN7:AN20" si="27">CJ7</f>
        <v>163183</v>
      </c>
      <c r="AO7" s="177">
        <f t="shared" ref="AO7:AO20" si="28">CC7</f>
        <v>109404</v>
      </c>
      <c r="AP7" s="177">
        <f t="shared" ref="AP7:AP20" si="29">CD7</f>
        <v>51918</v>
      </c>
      <c r="AQ7" s="177">
        <f t="shared" ref="AQ7:AQ20" si="30">CK7</f>
        <v>120436</v>
      </c>
      <c r="AR7" s="177">
        <f t="shared" ref="AR7:AR20" si="31">CI7</f>
        <v>66479</v>
      </c>
      <c r="AS7" s="178">
        <f t="shared" ref="AS7:AS13" si="32">CF7+CG7</f>
        <v>147601</v>
      </c>
      <c r="AT7" s="177">
        <v>20735</v>
      </c>
      <c r="AU7" s="177">
        <v>61785</v>
      </c>
      <c r="AV7" s="177">
        <v>64148</v>
      </c>
      <c r="AW7" s="177">
        <v>64237</v>
      </c>
      <c r="AX7" s="177">
        <v>68682</v>
      </c>
      <c r="AY7" s="177">
        <v>85814</v>
      </c>
      <c r="AZ7" s="177">
        <v>9988</v>
      </c>
      <c r="BA7" s="177">
        <v>109993</v>
      </c>
      <c r="BB7" s="177">
        <v>77676</v>
      </c>
      <c r="BC7" s="177">
        <v>148401</v>
      </c>
      <c r="BD7" s="177">
        <v>130441</v>
      </c>
      <c r="BE7" s="177">
        <v>62712</v>
      </c>
      <c r="BF7" s="179">
        <v>151158</v>
      </c>
      <c r="BG7" s="177">
        <v>14021</v>
      </c>
      <c r="BH7" s="177">
        <v>17346</v>
      </c>
      <c r="BI7" s="177">
        <v>108500</v>
      </c>
      <c r="BJ7" s="177">
        <v>73875</v>
      </c>
      <c r="BK7" s="177">
        <v>10883</v>
      </c>
      <c r="BL7" s="177">
        <v>14496</v>
      </c>
      <c r="BM7" s="177">
        <v>112628</v>
      </c>
      <c r="BN7" s="177">
        <v>106171</v>
      </c>
      <c r="BO7" s="177">
        <v>9800</v>
      </c>
      <c r="BP7" s="177">
        <v>79751</v>
      </c>
      <c r="BQ7" s="177">
        <v>57368</v>
      </c>
      <c r="BR7" s="179">
        <v>87068</v>
      </c>
      <c r="BS7" s="177">
        <v>15306</v>
      </c>
      <c r="BT7" s="177">
        <v>137833</v>
      </c>
      <c r="BU7" s="177">
        <v>67988</v>
      </c>
      <c r="BV7" s="177">
        <v>185085</v>
      </c>
      <c r="BW7" s="177">
        <v>76943</v>
      </c>
      <c r="BX7" s="177">
        <v>102527</v>
      </c>
      <c r="BY7" s="177">
        <v>73435</v>
      </c>
      <c r="BZ7" s="177">
        <v>81798</v>
      </c>
      <c r="CA7" s="177">
        <v>80677</v>
      </c>
      <c r="CB7" s="179">
        <v>113116</v>
      </c>
      <c r="CC7" s="177">
        <v>109404</v>
      </c>
      <c r="CD7" s="177">
        <v>51918</v>
      </c>
      <c r="CE7" s="177">
        <v>91772</v>
      </c>
      <c r="CF7" s="177">
        <v>11869</v>
      </c>
      <c r="CG7" s="181">
        <v>135732</v>
      </c>
      <c r="CH7" s="177">
        <v>140975</v>
      </c>
      <c r="CI7" s="177">
        <v>66479</v>
      </c>
      <c r="CJ7" s="177">
        <v>163183</v>
      </c>
      <c r="CK7" s="178">
        <v>120436</v>
      </c>
      <c r="CL7" s="180">
        <v>3575148</v>
      </c>
      <c r="CM7" s="56"/>
    </row>
    <row r="8" spans="1:91" ht="14.25">
      <c r="A8" s="93">
        <f>ROWS($A$3:A6)</f>
        <v>4</v>
      </c>
      <c r="B8" s="106" t="s">
        <v>261</v>
      </c>
      <c r="C8" s="243"/>
      <c r="D8" s="319" t="s">
        <v>1</v>
      </c>
      <c r="E8" s="320"/>
      <c r="F8" s="156">
        <v>172034</v>
      </c>
      <c r="G8" s="177">
        <v>112780</v>
      </c>
      <c r="H8" s="177">
        <v>112040</v>
      </c>
      <c r="I8" s="178">
        <v>108519</v>
      </c>
      <c r="J8" s="177"/>
      <c r="K8" s="156">
        <f t="shared" si="0"/>
        <v>18967</v>
      </c>
      <c r="L8" s="177">
        <f t="shared" si="1"/>
        <v>14887</v>
      </c>
      <c r="M8" s="177">
        <f t="shared" si="2"/>
        <v>14051</v>
      </c>
      <c r="N8" s="177">
        <f t="shared" si="3"/>
        <v>10508</v>
      </c>
      <c r="O8" s="177">
        <f t="shared" si="4"/>
        <v>7825</v>
      </c>
      <c r="P8" s="177">
        <f t="shared" si="5"/>
        <v>22380</v>
      </c>
      <c r="Q8" s="177">
        <f>'2010'!AU8</f>
        <v>13720</v>
      </c>
      <c r="R8" s="177">
        <f>AT8+AX8</f>
        <v>27158</v>
      </c>
      <c r="S8" s="177">
        <f t="shared" si="6"/>
        <v>15715</v>
      </c>
      <c r="T8" s="177">
        <f t="shared" si="7"/>
        <v>9928</v>
      </c>
      <c r="U8" s="179">
        <f t="shared" si="8"/>
        <v>16895</v>
      </c>
      <c r="V8" s="177">
        <f t="shared" si="9"/>
        <v>12357</v>
      </c>
      <c r="W8" s="177">
        <f t="shared" si="10"/>
        <v>8228</v>
      </c>
      <c r="X8" s="177">
        <f t="shared" si="11"/>
        <v>27238</v>
      </c>
      <c r="Y8" s="177">
        <f t="shared" si="12"/>
        <v>32175</v>
      </c>
      <c r="Z8" s="177">
        <f t="shared" si="13"/>
        <v>11913</v>
      </c>
      <c r="AA8" s="177">
        <f t="shared" si="14"/>
        <v>12100</v>
      </c>
      <c r="AB8" s="179">
        <f t="shared" si="15"/>
        <v>8770</v>
      </c>
      <c r="AC8" s="177">
        <f t="shared" si="16"/>
        <v>11684</v>
      </c>
      <c r="AD8" s="177">
        <f t="shared" si="17"/>
        <v>7360</v>
      </c>
      <c r="AE8" s="177">
        <f t="shared" si="18"/>
        <v>19067</v>
      </c>
      <c r="AF8" s="177">
        <f t="shared" si="19"/>
        <v>10135</v>
      </c>
      <c r="AG8" s="177">
        <f t="shared" si="20"/>
        <v>21550</v>
      </c>
      <c r="AH8" s="177">
        <f t="shared" si="21"/>
        <v>12514</v>
      </c>
      <c r="AI8" s="177">
        <f t="shared" si="22"/>
        <v>9826</v>
      </c>
      <c r="AJ8" s="177">
        <f t="shared" si="23"/>
        <v>8469</v>
      </c>
      <c r="AK8" s="179">
        <f t="shared" si="24"/>
        <v>11435</v>
      </c>
      <c r="AL8" s="177">
        <f t="shared" si="25"/>
        <v>12156</v>
      </c>
      <c r="AM8" s="177">
        <f t="shared" si="26"/>
        <v>15857</v>
      </c>
      <c r="AN8" s="177">
        <f t="shared" si="27"/>
        <v>16806</v>
      </c>
      <c r="AO8" s="177">
        <f t="shared" si="28"/>
        <v>14176</v>
      </c>
      <c r="AP8" s="177">
        <f t="shared" si="29"/>
        <v>9148</v>
      </c>
      <c r="AQ8" s="177">
        <f t="shared" si="30"/>
        <v>11674</v>
      </c>
      <c r="AR8" s="177">
        <f t="shared" si="31"/>
        <v>9664</v>
      </c>
      <c r="AS8" s="178">
        <f t="shared" si="32"/>
        <v>19037</v>
      </c>
      <c r="AT8" s="177">
        <v>10656</v>
      </c>
      <c r="AU8" s="177">
        <v>13720</v>
      </c>
      <c r="AV8" s="177">
        <v>15715</v>
      </c>
      <c r="AW8" s="177">
        <v>10508</v>
      </c>
      <c r="AX8" s="177">
        <v>16502</v>
      </c>
      <c r="AY8" s="177">
        <v>14887</v>
      </c>
      <c r="AZ8" s="177">
        <v>3537</v>
      </c>
      <c r="BA8" s="177">
        <v>18843</v>
      </c>
      <c r="BB8" s="177">
        <v>9928</v>
      </c>
      <c r="BC8" s="177">
        <v>16895</v>
      </c>
      <c r="BD8" s="177">
        <v>14051</v>
      </c>
      <c r="BE8" s="177">
        <v>7825</v>
      </c>
      <c r="BF8" s="179">
        <v>18967</v>
      </c>
      <c r="BG8" s="177">
        <v>2036</v>
      </c>
      <c r="BH8" s="177">
        <v>8034</v>
      </c>
      <c r="BI8" s="177">
        <v>19204</v>
      </c>
      <c r="BJ8" s="177">
        <v>10321</v>
      </c>
      <c r="BK8" s="177">
        <v>3273</v>
      </c>
      <c r="BL8" s="177">
        <v>8417</v>
      </c>
      <c r="BM8" s="177">
        <v>11913</v>
      </c>
      <c r="BN8" s="177">
        <v>20485</v>
      </c>
      <c r="BO8" s="177">
        <v>3005</v>
      </c>
      <c r="BP8" s="177">
        <v>8770</v>
      </c>
      <c r="BQ8" s="177">
        <v>9095</v>
      </c>
      <c r="BR8" s="179">
        <v>8228</v>
      </c>
      <c r="BS8" s="177">
        <v>4861</v>
      </c>
      <c r="BT8" s="177">
        <v>14206</v>
      </c>
      <c r="BU8" s="177">
        <v>7360</v>
      </c>
      <c r="BV8" s="177">
        <v>21550</v>
      </c>
      <c r="BW8" s="177">
        <v>9826</v>
      </c>
      <c r="BX8" s="177">
        <v>11684</v>
      </c>
      <c r="BY8" s="177">
        <v>8469</v>
      </c>
      <c r="BZ8" s="177">
        <v>12514</v>
      </c>
      <c r="CA8" s="177">
        <v>10135</v>
      </c>
      <c r="CB8" s="179">
        <v>11435</v>
      </c>
      <c r="CC8" s="177">
        <v>14176</v>
      </c>
      <c r="CD8" s="177">
        <v>9148</v>
      </c>
      <c r="CE8" s="177">
        <v>12156</v>
      </c>
      <c r="CF8" s="177">
        <v>3771</v>
      </c>
      <c r="CG8" s="181">
        <v>15266</v>
      </c>
      <c r="CH8" s="177">
        <v>15857</v>
      </c>
      <c r="CI8" s="177">
        <v>9664</v>
      </c>
      <c r="CJ8" s="177">
        <v>16806</v>
      </c>
      <c r="CK8" s="178">
        <v>11674</v>
      </c>
      <c r="CL8" s="180">
        <v>505380</v>
      </c>
      <c r="CM8" s="56"/>
    </row>
    <row r="9" spans="1:91">
      <c r="A9" s="93">
        <f>ROWS($A$3:A7)</f>
        <v>5</v>
      </c>
      <c r="B9" s="106" t="s">
        <v>0</v>
      </c>
      <c r="C9" s="243"/>
      <c r="D9" s="319" t="s">
        <v>1</v>
      </c>
      <c r="E9" s="320"/>
      <c r="F9" s="156">
        <v>532839</v>
      </c>
      <c r="G9" s="177">
        <v>253002</v>
      </c>
      <c r="H9" s="177">
        <v>372317</v>
      </c>
      <c r="I9" s="178">
        <v>477234</v>
      </c>
      <c r="J9" s="177"/>
      <c r="K9" s="156">
        <f t="shared" si="0"/>
        <v>71430</v>
      </c>
      <c r="L9" s="177">
        <f t="shared" si="1"/>
        <v>36332</v>
      </c>
      <c r="M9" s="177">
        <f t="shared" si="2"/>
        <v>75457</v>
      </c>
      <c r="N9" s="177">
        <f t="shared" si="3"/>
        <v>32300</v>
      </c>
      <c r="O9" s="177">
        <f t="shared" si="4"/>
        <v>27228</v>
      </c>
      <c r="P9" s="177">
        <f t="shared" si="5"/>
        <v>65920</v>
      </c>
      <c r="Q9" s="177">
        <f>'2010'!AU9</f>
        <v>25858</v>
      </c>
      <c r="R9" s="177">
        <f t="shared" ref="R9:R16" si="33">AT9+AX9</f>
        <v>42861</v>
      </c>
      <c r="S9" s="177">
        <f t="shared" si="6"/>
        <v>28660</v>
      </c>
      <c r="T9" s="177">
        <f t="shared" si="7"/>
        <v>44522</v>
      </c>
      <c r="U9" s="179">
        <f t="shared" si="8"/>
        <v>82270</v>
      </c>
      <c r="V9" s="177">
        <f t="shared" si="9"/>
        <v>25976</v>
      </c>
      <c r="W9" s="177">
        <f t="shared" si="10"/>
        <v>23114</v>
      </c>
      <c r="X9" s="177">
        <f t="shared" si="11"/>
        <v>52752</v>
      </c>
      <c r="Y9" s="177">
        <f t="shared" si="12"/>
        <v>51314</v>
      </c>
      <c r="Z9" s="177">
        <f t="shared" si="13"/>
        <v>51845</v>
      </c>
      <c r="AA9" s="177">
        <f t="shared" si="14"/>
        <v>27142</v>
      </c>
      <c r="AB9" s="179">
        <f t="shared" si="15"/>
        <v>20859</v>
      </c>
      <c r="AC9" s="177">
        <f t="shared" si="16"/>
        <v>42763</v>
      </c>
      <c r="AD9" s="177">
        <f t="shared" si="17"/>
        <v>27627</v>
      </c>
      <c r="AE9" s="177">
        <f t="shared" si="18"/>
        <v>58647</v>
      </c>
      <c r="AF9" s="177">
        <f t="shared" si="19"/>
        <v>27716</v>
      </c>
      <c r="AG9" s="177">
        <f t="shared" si="20"/>
        <v>70761</v>
      </c>
      <c r="AH9" s="177">
        <f t="shared" si="21"/>
        <v>40439</v>
      </c>
      <c r="AI9" s="177">
        <f t="shared" si="22"/>
        <v>32882</v>
      </c>
      <c r="AJ9" s="177">
        <f t="shared" si="23"/>
        <v>27386</v>
      </c>
      <c r="AK9" s="179">
        <f t="shared" si="24"/>
        <v>44097</v>
      </c>
      <c r="AL9" s="177">
        <f t="shared" si="25"/>
        <v>41156</v>
      </c>
      <c r="AM9" s="177">
        <f t="shared" si="26"/>
        <v>82506</v>
      </c>
      <c r="AN9" s="177">
        <f t="shared" si="27"/>
        <v>96550</v>
      </c>
      <c r="AO9" s="177">
        <f t="shared" si="28"/>
        <v>52852</v>
      </c>
      <c r="AP9" s="177">
        <f t="shared" si="29"/>
        <v>23945</v>
      </c>
      <c r="AQ9" s="177">
        <f t="shared" si="30"/>
        <v>59927</v>
      </c>
      <c r="AR9" s="177">
        <f t="shared" si="31"/>
        <v>37105</v>
      </c>
      <c r="AS9" s="178">
        <f t="shared" si="32"/>
        <v>83193</v>
      </c>
      <c r="AT9" s="177">
        <v>4782</v>
      </c>
      <c r="AU9" s="177">
        <v>25858</v>
      </c>
      <c r="AV9" s="177">
        <v>28660</v>
      </c>
      <c r="AW9" s="177">
        <v>32300</v>
      </c>
      <c r="AX9" s="177">
        <v>38079</v>
      </c>
      <c r="AY9" s="177">
        <v>36332</v>
      </c>
      <c r="AZ9" s="177">
        <v>4752</v>
      </c>
      <c r="BA9" s="177">
        <v>61168</v>
      </c>
      <c r="BB9" s="177">
        <v>44522</v>
      </c>
      <c r="BC9" s="177">
        <v>82270</v>
      </c>
      <c r="BD9" s="177">
        <v>75457</v>
      </c>
      <c r="BE9" s="177">
        <v>27228</v>
      </c>
      <c r="BF9" s="179">
        <v>71430</v>
      </c>
      <c r="BG9" s="177">
        <v>3142</v>
      </c>
      <c r="BH9" s="177">
        <v>3966</v>
      </c>
      <c r="BI9" s="177">
        <v>48786</v>
      </c>
      <c r="BJ9" s="177">
        <v>22834</v>
      </c>
      <c r="BK9" s="177">
        <v>2875</v>
      </c>
      <c r="BL9" s="177">
        <v>3466</v>
      </c>
      <c r="BM9" s="177">
        <v>51845</v>
      </c>
      <c r="BN9" s="177">
        <v>44973</v>
      </c>
      <c r="BO9" s="177">
        <v>1672</v>
      </c>
      <c r="BP9" s="177">
        <v>20859</v>
      </c>
      <c r="BQ9" s="177">
        <v>25470</v>
      </c>
      <c r="BR9" s="179">
        <v>23114</v>
      </c>
      <c r="BS9" s="177">
        <v>3671</v>
      </c>
      <c r="BT9" s="177">
        <v>54976</v>
      </c>
      <c r="BU9" s="177">
        <v>27627</v>
      </c>
      <c r="BV9" s="177">
        <v>70761</v>
      </c>
      <c r="BW9" s="177">
        <v>32882</v>
      </c>
      <c r="BX9" s="177">
        <v>42763</v>
      </c>
      <c r="BY9" s="177">
        <v>27386</v>
      </c>
      <c r="BZ9" s="177">
        <v>40439</v>
      </c>
      <c r="CA9" s="177">
        <v>27716</v>
      </c>
      <c r="CB9" s="179">
        <v>44097</v>
      </c>
      <c r="CC9" s="177">
        <v>52852</v>
      </c>
      <c r="CD9" s="177">
        <v>23945</v>
      </c>
      <c r="CE9" s="177">
        <v>41156</v>
      </c>
      <c r="CF9" s="177">
        <v>5302</v>
      </c>
      <c r="CG9" s="181">
        <v>77891</v>
      </c>
      <c r="CH9" s="177">
        <v>82506</v>
      </c>
      <c r="CI9" s="177">
        <v>37105</v>
      </c>
      <c r="CJ9" s="177">
        <v>96550</v>
      </c>
      <c r="CK9" s="178">
        <v>59927</v>
      </c>
      <c r="CL9" s="180">
        <v>1635605</v>
      </c>
      <c r="CM9" s="56"/>
    </row>
    <row r="10" spans="1:91">
      <c r="A10" s="93">
        <f>ROWS($A$3:A8)</f>
        <v>6</v>
      </c>
      <c r="B10" s="106" t="s">
        <v>216</v>
      </c>
      <c r="C10" s="243"/>
      <c r="D10" s="319" t="s">
        <v>1</v>
      </c>
      <c r="E10" s="320"/>
      <c r="F10" s="156">
        <v>334795</v>
      </c>
      <c r="G10" s="177">
        <v>309951</v>
      </c>
      <c r="H10" s="177">
        <v>432156</v>
      </c>
      <c r="I10" s="178">
        <v>291374</v>
      </c>
      <c r="J10" s="177"/>
      <c r="K10" s="156">
        <f t="shared" si="0"/>
        <v>59123</v>
      </c>
      <c r="L10" s="177">
        <f t="shared" si="1"/>
        <v>33663</v>
      </c>
      <c r="M10" s="177">
        <f t="shared" si="2"/>
        <v>38605</v>
      </c>
      <c r="N10" s="177">
        <f t="shared" si="3"/>
        <v>20645</v>
      </c>
      <c r="O10" s="177">
        <f t="shared" si="4"/>
        <v>26973</v>
      </c>
      <c r="P10" s="177">
        <f t="shared" si="5"/>
        <v>29538</v>
      </c>
      <c r="Q10" s="177">
        <f>'2010'!AU10</f>
        <v>21392</v>
      </c>
      <c r="R10" s="177">
        <f t="shared" si="33"/>
        <v>17465</v>
      </c>
      <c r="S10" s="177">
        <f t="shared" si="6"/>
        <v>18683</v>
      </c>
      <c r="T10" s="177">
        <f t="shared" si="7"/>
        <v>21781</v>
      </c>
      <c r="U10" s="179">
        <f t="shared" si="8"/>
        <v>46926</v>
      </c>
      <c r="V10" s="177">
        <f t="shared" si="9"/>
        <v>46159</v>
      </c>
      <c r="W10" s="177">
        <f t="shared" si="10"/>
        <v>54621</v>
      </c>
      <c r="X10" s="177">
        <f t="shared" si="11"/>
        <v>41290</v>
      </c>
      <c r="Y10" s="177">
        <f t="shared" si="12"/>
        <v>44169</v>
      </c>
      <c r="Z10" s="177">
        <f t="shared" si="13"/>
        <v>47415</v>
      </c>
      <c r="AA10" s="177">
        <f t="shared" si="14"/>
        <v>27010</v>
      </c>
      <c r="AB10" s="179">
        <f t="shared" si="15"/>
        <v>49287</v>
      </c>
      <c r="AC10" s="177">
        <f t="shared" si="16"/>
        <v>46916</v>
      </c>
      <c r="AD10" s="177">
        <f t="shared" si="17"/>
        <v>31159</v>
      </c>
      <c r="AE10" s="177">
        <f t="shared" si="18"/>
        <v>71997</v>
      </c>
      <c r="AF10" s="177">
        <f t="shared" si="19"/>
        <v>41624</v>
      </c>
      <c r="AG10" s="177">
        <f t="shared" si="20"/>
        <v>87484</v>
      </c>
      <c r="AH10" s="177">
        <f t="shared" si="21"/>
        <v>27327</v>
      </c>
      <c r="AI10" s="177">
        <f t="shared" si="22"/>
        <v>33095</v>
      </c>
      <c r="AJ10" s="177">
        <f t="shared" si="23"/>
        <v>36727</v>
      </c>
      <c r="AK10" s="179">
        <f t="shared" si="24"/>
        <v>55826</v>
      </c>
      <c r="AL10" s="177">
        <f t="shared" si="25"/>
        <v>37310</v>
      </c>
      <c r="AM10" s="177">
        <f t="shared" si="26"/>
        <v>40116</v>
      </c>
      <c r="AN10" s="177">
        <f t="shared" si="27"/>
        <v>46892</v>
      </c>
      <c r="AO10" s="177">
        <f t="shared" si="28"/>
        <v>41289</v>
      </c>
      <c r="AP10" s="177">
        <f t="shared" si="29"/>
        <v>17987</v>
      </c>
      <c r="AQ10" s="177">
        <f t="shared" si="30"/>
        <v>46644</v>
      </c>
      <c r="AR10" s="177">
        <f t="shared" si="31"/>
        <v>18634</v>
      </c>
      <c r="AS10" s="178">
        <f t="shared" si="32"/>
        <v>42503</v>
      </c>
      <c r="AT10" s="181">
        <v>4967</v>
      </c>
      <c r="AU10" s="177">
        <v>21392</v>
      </c>
      <c r="AV10" s="177">
        <v>18683</v>
      </c>
      <c r="AW10" s="177">
        <v>20645</v>
      </c>
      <c r="AX10" s="177">
        <v>12498</v>
      </c>
      <c r="AY10" s="177">
        <v>33663</v>
      </c>
      <c r="AZ10" s="177">
        <v>1420</v>
      </c>
      <c r="BA10" s="177">
        <v>28118</v>
      </c>
      <c r="BB10" s="177">
        <v>21781</v>
      </c>
      <c r="BC10" s="177">
        <v>46926</v>
      </c>
      <c r="BD10" s="177">
        <v>38605</v>
      </c>
      <c r="BE10" s="177">
        <v>26973</v>
      </c>
      <c r="BF10" s="179">
        <v>59123</v>
      </c>
      <c r="BG10" s="177">
        <v>8620</v>
      </c>
      <c r="BH10" s="177">
        <v>4520</v>
      </c>
      <c r="BI10" s="177">
        <v>36770</v>
      </c>
      <c r="BJ10" s="177">
        <v>37539</v>
      </c>
      <c r="BK10" s="177">
        <v>4429</v>
      </c>
      <c r="BL10" s="177">
        <v>1812</v>
      </c>
      <c r="BM10" s="177">
        <v>47415</v>
      </c>
      <c r="BN10" s="177">
        <v>37928</v>
      </c>
      <c r="BO10" s="177">
        <v>5027</v>
      </c>
      <c r="BP10" s="177">
        <v>49287</v>
      </c>
      <c r="BQ10" s="177">
        <v>21983</v>
      </c>
      <c r="BR10" s="179">
        <v>54621</v>
      </c>
      <c r="BS10" s="177">
        <v>6501</v>
      </c>
      <c r="BT10" s="177">
        <v>65496</v>
      </c>
      <c r="BU10" s="177">
        <v>31159</v>
      </c>
      <c r="BV10" s="177">
        <v>87484</v>
      </c>
      <c r="BW10" s="177">
        <v>33095</v>
      </c>
      <c r="BX10" s="177">
        <v>46916</v>
      </c>
      <c r="BY10" s="177">
        <v>36727</v>
      </c>
      <c r="BZ10" s="177">
        <v>27327</v>
      </c>
      <c r="CA10" s="177">
        <v>41624</v>
      </c>
      <c r="CB10" s="179">
        <v>55826</v>
      </c>
      <c r="CC10" s="177">
        <v>41289</v>
      </c>
      <c r="CD10" s="177">
        <v>17987</v>
      </c>
      <c r="CE10" s="177">
        <v>37310</v>
      </c>
      <c r="CF10" s="177">
        <v>2275</v>
      </c>
      <c r="CG10" s="181">
        <v>40228</v>
      </c>
      <c r="CH10" s="177">
        <v>40116</v>
      </c>
      <c r="CI10" s="177">
        <v>18634</v>
      </c>
      <c r="CJ10" s="177">
        <v>46892</v>
      </c>
      <c r="CK10" s="178">
        <v>46644</v>
      </c>
      <c r="CL10" s="180">
        <v>1368800</v>
      </c>
      <c r="CM10" s="56"/>
    </row>
    <row r="11" spans="1:91">
      <c r="A11" s="93">
        <f>ROWS($A$3:A9)</f>
        <v>7</v>
      </c>
      <c r="B11" s="106" t="s">
        <v>2</v>
      </c>
      <c r="C11" s="243"/>
      <c r="D11" s="319" t="s">
        <v>1</v>
      </c>
      <c r="E11" s="320"/>
      <c r="F11" s="156">
        <v>8904</v>
      </c>
      <c r="G11" s="177">
        <v>10099</v>
      </c>
      <c r="H11" s="177">
        <v>11395</v>
      </c>
      <c r="I11" s="178">
        <v>7932</v>
      </c>
      <c r="J11" s="177"/>
      <c r="K11" s="156">
        <f t="shared" si="0"/>
        <v>1122</v>
      </c>
      <c r="L11" s="177">
        <f t="shared" si="1"/>
        <v>523</v>
      </c>
      <c r="M11" s="177">
        <f t="shared" si="2"/>
        <v>1051</v>
      </c>
      <c r="N11" s="177">
        <f t="shared" si="3"/>
        <v>309</v>
      </c>
      <c r="O11" s="177">
        <f t="shared" si="4"/>
        <v>255</v>
      </c>
      <c r="P11" s="177">
        <f t="shared" si="5"/>
        <v>1445</v>
      </c>
      <c r="Q11" s="177">
        <f>'2010'!AU11</f>
        <v>250</v>
      </c>
      <c r="R11" s="177">
        <f t="shared" si="33"/>
        <v>1175</v>
      </c>
      <c r="S11" s="177">
        <f t="shared" si="6"/>
        <v>615</v>
      </c>
      <c r="T11" s="177">
        <f t="shared" si="7"/>
        <v>812</v>
      </c>
      <c r="U11" s="179">
        <f t="shared" si="8"/>
        <v>1347</v>
      </c>
      <c r="V11" s="177">
        <f t="shared" si="9"/>
        <v>2311</v>
      </c>
      <c r="W11" s="177">
        <f t="shared" si="10"/>
        <v>508</v>
      </c>
      <c r="X11" s="177">
        <f t="shared" si="11"/>
        <v>3117</v>
      </c>
      <c r="Y11" s="177">
        <f t="shared" si="12"/>
        <v>2691</v>
      </c>
      <c r="Z11" s="177">
        <f t="shared" si="13"/>
        <v>753</v>
      </c>
      <c r="AA11" s="177">
        <f t="shared" si="14"/>
        <v>401</v>
      </c>
      <c r="AB11" s="179">
        <f t="shared" si="15"/>
        <v>319</v>
      </c>
      <c r="AC11" s="177">
        <f t="shared" si="16"/>
        <v>658</v>
      </c>
      <c r="AD11" s="177">
        <f t="shared" si="17"/>
        <v>928</v>
      </c>
      <c r="AE11" s="177">
        <f t="shared" si="18"/>
        <v>2227</v>
      </c>
      <c r="AF11" s="177">
        <f t="shared" si="19"/>
        <v>919</v>
      </c>
      <c r="AG11" s="177">
        <f t="shared" si="20"/>
        <v>3471</v>
      </c>
      <c r="AH11" s="177">
        <f t="shared" si="21"/>
        <v>972</v>
      </c>
      <c r="AI11" s="177">
        <f t="shared" si="22"/>
        <v>453</v>
      </c>
      <c r="AJ11" s="177">
        <f t="shared" si="23"/>
        <v>349</v>
      </c>
      <c r="AK11" s="179">
        <f t="shared" si="24"/>
        <v>1417</v>
      </c>
      <c r="AL11" s="177">
        <f t="shared" si="25"/>
        <v>365</v>
      </c>
      <c r="AM11" s="177">
        <f t="shared" si="26"/>
        <v>1517</v>
      </c>
      <c r="AN11" s="177">
        <f t="shared" si="27"/>
        <v>2182</v>
      </c>
      <c r="AO11" s="177">
        <f t="shared" si="28"/>
        <v>268</v>
      </c>
      <c r="AP11" s="177">
        <f t="shared" si="29"/>
        <v>476</v>
      </c>
      <c r="AQ11" s="177">
        <f t="shared" si="30"/>
        <v>1138</v>
      </c>
      <c r="AR11" s="177">
        <f t="shared" si="31"/>
        <v>709</v>
      </c>
      <c r="AS11" s="178">
        <f t="shared" si="32"/>
        <v>1278</v>
      </c>
      <c r="AT11" s="181">
        <v>270</v>
      </c>
      <c r="AU11" s="177">
        <v>250</v>
      </c>
      <c r="AV11" s="177">
        <v>615</v>
      </c>
      <c r="AW11" s="177">
        <v>309</v>
      </c>
      <c r="AX11" s="177">
        <v>905</v>
      </c>
      <c r="AY11" s="177">
        <v>523</v>
      </c>
      <c r="AZ11" s="177">
        <v>217</v>
      </c>
      <c r="BA11" s="177">
        <v>1228</v>
      </c>
      <c r="BB11" s="177">
        <v>812</v>
      </c>
      <c r="BC11" s="177">
        <v>1347</v>
      </c>
      <c r="BD11" s="177">
        <v>1051</v>
      </c>
      <c r="BE11" s="177">
        <v>255</v>
      </c>
      <c r="BF11" s="179">
        <v>1122</v>
      </c>
      <c r="BG11" s="177">
        <v>82</v>
      </c>
      <c r="BH11" s="177">
        <v>707</v>
      </c>
      <c r="BI11" s="177">
        <v>2410</v>
      </c>
      <c r="BJ11" s="177">
        <v>2229</v>
      </c>
      <c r="BK11" s="177">
        <v>252</v>
      </c>
      <c r="BL11" s="177">
        <v>761</v>
      </c>
      <c r="BM11" s="177">
        <v>753</v>
      </c>
      <c r="BN11" s="177">
        <v>1678</v>
      </c>
      <c r="BO11" s="177">
        <v>73</v>
      </c>
      <c r="BP11" s="177">
        <v>319</v>
      </c>
      <c r="BQ11" s="177">
        <v>328</v>
      </c>
      <c r="BR11" s="179">
        <v>508</v>
      </c>
      <c r="BS11" s="177">
        <v>207</v>
      </c>
      <c r="BT11" s="177">
        <v>2020</v>
      </c>
      <c r="BU11" s="177">
        <v>928</v>
      </c>
      <c r="BV11" s="177">
        <v>3471</v>
      </c>
      <c r="BW11" s="177">
        <v>453</v>
      </c>
      <c r="BX11" s="177">
        <v>658</v>
      </c>
      <c r="BY11" s="177">
        <v>349</v>
      </c>
      <c r="BZ11" s="177">
        <v>972</v>
      </c>
      <c r="CA11" s="177">
        <v>919</v>
      </c>
      <c r="CB11" s="179">
        <v>1417</v>
      </c>
      <c r="CC11" s="177">
        <v>268</v>
      </c>
      <c r="CD11" s="177">
        <v>476</v>
      </c>
      <c r="CE11" s="177">
        <v>365</v>
      </c>
      <c r="CF11" s="177">
        <v>156</v>
      </c>
      <c r="CG11" s="181">
        <v>1122</v>
      </c>
      <c r="CH11" s="177">
        <v>1517</v>
      </c>
      <c r="CI11" s="177">
        <v>709</v>
      </c>
      <c r="CJ11" s="177">
        <v>2182</v>
      </c>
      <c r="CK11" s="178">
        <v>1138</v>
      </c>
      <c r="CL11" s="180">
        <v>38568</v>
      </c>
      <c r="CM11" s="56"/>
    </row>
    <row r="12" spans="1:91">
      <c r="A12" s="93">
        <f>ROWS($A$3:A10)</f>
        <v>8</v>
      </c>
      <c r="B12" s="106" t="s">
        <v>217</v>
      </c>
      <c r="C12" s="243"/>
      <c r="D12" s="319" t="s">
        <v>1</v>
      </c>
      <c r="E12" s="320"/>
      <c r="F12" s="156">
        <v>7197</v>
      </c>
      <c r="G12" s="177">
        <v>6076</v>
      </c>
      <c r="H12" s="177">
        <v>6800</v>
      </c>
      <c r="I12" s="178">
        <v>6709</v>
      </c>
      <c r="J12" s="177"/>
      <c r="K12" s="156">
        <f t="shared" si="0"/>
        <v>516</v>
      </c>
      <c r="L12" s="177">
        <f t="shared" si="1"/>
        <v>409</v>
      </c>
      <c r="M12" s="177">
        <f t="shared" si="2"/>
        <v>1277</v>
      </c>
      <c r="N12" s="177">
        <f t="shared" si="3"/>
        <v>474</v>
      </c>
      <c r="O12" s="177">
        <f t="shared" si="4"/>
        <v>431</v>
      </c>
      <c r="P12" s="177">
        <f t="shared" si="5"/>
        <v>698</v>
      </c>
      <c r="Q12" s="177">
        <f>'2010'!AU12</f>
        <v>564</v>
      </c>
      <c r="R12" s="177">
        <f t="shared" si="33"/>
        <v>756</v>
      </c>
      <c r="S12" s="177">
        <f t="shared" si="6"/>
        <v>475</v>
      </c>
      <c r="T12" s="177">
        <f t="shared" si="7"/>
        <v>633</v>
      </c>
      <c r="U12" s="179">
        <f t="shared" si="8"/>
        <v>962</v>
      </c>
      <c r="V12" s="177">
        <f t="shared" si="9"/>
        <v>1093</v>
      </c>
      <c r="W12" s="177">
        <f t="shared" si="10"/>
        <v>596</v>
      </c>
      <c r="X12" s="177">
        <f t="shared" si="11"/>
        <v>1451</v>
      </c>
      <c r="Y12" s="177">
        <f t="shared" si="12"/>
        <v>1202</v>
      </c>
      <c r="Z12" s="177">
        <f t="shared" si="13"/>
        <v>703</v>
      </c>
      <c r="AA12" s="177">
        <f t="shared" si="14"/>
        <v>515</v>
      </c>
      <c r="AB12" s="179">
        <f t="shared" si="15"/>
        <v>516</v>
      </c>
      <c r="AC12" s="177">
        <f t="shared" si="16"/>
        <v>506</v>
      </c>
      <c r="AD12" s="177">
        <f t="shared" si="17"/>
        <v>915</v>
      </c>
      <c r="AE12" s="177">
        <f t="shared" si="18"/>
        <v>1200</v>
      </c>
      <c r="AF12" s="177">
        <f t="shared" si="19"/>
        <v>283</v>
      </c>
      <c r="AG12" s="177">
        <f t="shared" si="20"/>
        <v>1819</v>
      </c>
      <c r="AH12" s="177">
        <f t="shared" si="21"/>
        <v>546</v>
      </c>
      <c r="AI12" s="177">
        <f t="shared" si="22"/>
        <v>686</v>
      </c>
      <c r="AJ12" s="177">
        <f t="shared" si="23"/>
        <v>504</v>
      </c>
      <c r="AK12" s="179">
        <f t="shared" si="24"/>
        <v>341</v>
      </c>
      <c r="AL12" s="177">
        <f t="shared" si="25"/>
        <v>784</v>
      </c>
      <c r="AM12" s="177">
        <f t="shared" si="26"/>
        <v>978</v>
      </c>
      <c r="AN12" s="177">
        <f t="shared" si="27"/>
        <v>753</v>
      </c>
      <c r="AO12" s="177">
        <f t="shared" si="28"/>
        <v>820</v>
      </c>
      <c r="AP12" s="177">
        <f t="shared" si="29"/>
        <v>363</v>
      </c>
      <c r="AQ12" s="177">
        <f t="shared" si="30"/>
        <v>1053</v>
      </c>
      <c r="AR12" s="177">
        <f t="shared" si="31"/>
        <v>367</v>
      </c>
      <c r="AS12" s="178">
        <f t="shared" si="32"/>
        <v>1591</v>
      </c>
      <c r="AT12" s="181">
        <v>59</v>
      </c>
      <c r="AU12" s="177">
        <v>564</v>
      </c>
      <c r="AV12" s="177">
        <v>475</v>
      </c>
      <c r="AW12" s="177">
        <v>474</v>
      </c>
      <c r="AX12" s="177">
        <v>697</v>
      </c>
      <c r="AY12" s="177">
        <v>409</v>
      </c>
      <c r="AZ12" s="177">
        <v>61</v>
      </c>
      <c r="BA12" s="177">
        <v>637</v>
      </c>
      <c r="BB12" s="177">
        <v>633</v>
      </c>
      <c r="BC12" s="177">
        <v>962</v>
      </c>
      <c r="BD12" s="177">
        <v>1277</v>
      </c>
      <c r="BE12" s="177">
        <v>431</v>
      </c>
      <c r="BF12" s="179">
        <v>516</v>
      </c>
      <c r="BG12" s="177">
        <v>141</v>
      </c>
      <c r="BH12" s="177">
        <v>120</v>
      </c>
      <c r="BI12" s="177">
        <v>1331</v>
      </c>
      <c r="BJ12" s="177">
        <v>952</v>
      </c>
      <c r="BK12" s="177">
        <v>54</v>
      </c>
      <c r="BL12" s="177">
        <v>40</v>
      </c>
      <c r="BM12" s="177">
        <v>703</v>
      </c>
      <c r="BN12" s="177">
        <v>1108</v>
      </c>
      <c r="BO12" s="177">
        <v>23</v>
      </c>
      <c r="BP12" s="177">
        <v>516</v>
      </c>
      <c r="BQ12" s="177">
        <v>492</v>
      </c>
      <c r="BR12" s="179">
        <v>596</v>
      </c>
      <c r="BS12" s="177">
        <v>65</v>
      </c>
      <c r="BT12" s="177">
        <v>1135</v>
      </c>
      <c r="BU12" s="177">
        <v>915</v>
      </c>
      <c r="BV12" s="177">
        <v>1819</v>
      </c>
      <c r="BW12" s="177">
        <v>686</v>
      </c>
      <c r="BX12" s="177">
        <v>506</v>
      </c>
      <c r="BY12" s="177">
        <v>504</v>
      </c>
      <c r="BZ12" s="177">
        <v>546</v>
      </c>
      <c r="CA12" s="177">
        <v>283</v>
      </c>
      <c r="CB12" s="179">
        <v>341</v>
      </c>
      <c r="CC12" s="177">
        <v>820</v>
      </c>
      <c r="CD12" s="177">
        <v>363</v>
      </c>
      <c r="CE12" s="177">
        <v>784</v>
      </c>
      <c r="CF12" s="177">
        <v>365</v>
      </c>
      <c r="CG12" s="181">
        <v>1226</v>
      </c>
      <c r="CH12" s="177">
        <v>978</v>
      </c>
      <c r="CI12" s="177">
        <v>367</v>
      </c>
      <c r="CJ12" s="177">
        <v>753</v>
      </c>
      <c r="CK12" s="178">
        <v>1053</v>
      </c>
      <c r="CL12" s="180">
        <v>26794</v>
      </c>
      <c r="CM12" s="56"/>
    </row>
    <row r="13" spans="1:91">
      <c r="A13" s="93">
        <f>ROWS($A$3:A11)</f>
        <v>9</v>
      </c>
      <c r="B13" s="106" t="s">
        <v>69</v>
      </c>
      <c r="C13" s="242">
        <v>2010</v>
      </c>
      <c r="D13" s="319" t="s">
        <v>12</v>
      </c>
      <c r="E13" s="322">
        <v>40739</v>
      </c>
      <c r="F13" s="156">
        <f>SUM(AT13:BF13)</f>
        <v>4002571</v>
      </c>
      <c r="G13" s="177">
        <f>SUM(BG13:BR13)</f>
        <v>2744226</v>
      </c>
      <c r="H13" s="177">
        <f>SUM(BS13:CB13)</f>
        <v>2199125</v>
      </c>
      <c r="I13" s="178">
        <f>SUM(CC13:CK13)</f>
        <v>1807958</v>
      </c>
      <c r="J13" s="181"/>
      <c r="K13" s="156">
        <f t="shared" si="0"/>
        <v>310733</v>
      </c>
      <c r="L13" s="177">
        <f t="shared" si="1"/>
        <v>415448</v>
      </c>
      <c r="M13" s="177">
        <f t="shared" si="2"/>
        <v>133351</v>
      </c>
      <c r="N13" s="177">
        <f t="shared" si="3"/>
        <v>252548</v>
      </c>
      <c r="O13" s="177">
        <f t="shared" si="4"/>
        <v>131116</v>
      </c>
      <c r="P13" s="177">
        <f t="shared" si="5"/>
        <v>451243</v>
      </c>
      <c r="Q13" s="177">
        <f>'2010'!AU13</f>
        <v>371396</v>
      </c>
      <c r="R13" s="177">
        <f t="shared" si="33"/>
        <v>1124573</v>
      </c>
      <c r="S13" s="177">
        <f t="shared" si="6"/>
        <v>514830</v>
      </c>
      <c r="T13" s="177">
        <f t="shared" si="7"/>
        <v>108913</v>
      </c>
      <c r="U13" s="179">
        <f t="shared" si="8"/>
        <v>188420</v>
      </c>
      <c r="V13" s="177">
        <f t="shared" si="9"/>
        <v>281234</v>
      </c>
      <c r="W13" s="177">
        <f t="shared" si="10"/>
        <v>119878</v>
      </c>
      <c r="X13" s="177">
        <f t="shared" si="11"/>
        <v>727032</v>
      </c>
      <c r="Y13" s="177">
        <f t="shared" si="12"/>
        <v>998111</v>
      </c>
      <c r="Z13" s="177">
        <f t="shared" si="13"/>
        <v>147006</v>
      </c>
      <c r="AA13" s="177">
        <f t="shared" si="14"/>
        <v>313694</v>
      </c>
      <c r="AB13" s="179">
        <f t="shared" si="15"/>
        <v>157271</v>
      </c>
      <c r="AC13" s="177">
        <f t="shared" si="16"/>
        <v>206535</v>
      </c>
      <c r="AD13" s="177">
        <f t="shared" si="17"/>
        <v>158342</v>
      </c>
      <c r="AE13" s="177">
        <f t="shared" si="18"/>
        <v>475457</v>
      </c>
      <c r="AF13" s="177">
        <f t="shared" si="19"/>
        <v>222650</v>
      </c>
      <c r="AG13" s="177">
        <f t="shared" si="20"/>
        <v>417513</v>
      </c>
      <c r="AH13" s="177">
        <f t="shared" si="21"/>
        <v>278983</v>
      </c>
      <c r="AI13" s="177">
        <f t="shared" si="22"/>
        <v>139316</v>
      </c>
      <c r="AJ13" s="177">
        <f t="shared" si="23"/>
        <v>134189</v>
      </c>
      <c r="AK13" s="179">
        <f t="shared" si="24"/>
        <v>166140</v>
      </c>
      <c r="AL13" s="177">
        <f t="shared" si="25"/>
        <v>188393</v>
      </c>
      <c r="AM13" s="177">
        <f t="shared" si="26"/>
        <v>189312</v>
      </c>
      <c r="AN13" s="177">
        <f t="shared" si="27"/>
        <v>276965</v>
      </c>
      <c r="AO13" s="177">
        <f t="shared" si="28"/>
        <v>280931</v>
      </c>
      <c r="AP13" s="177">
        <f t="shared" si="29"/>
        <v>221304</v>
      </c>
      <c r="AQ13" s="177">
        <f t="shared" si="30"/>
        <v>130215</v>
      </c>
      <c r="AR13" s="177">
        <f t="shared" si="31"/>
        <v>208367</v>
      </c>
      <c r="AS13" s="178">
        <f t="shared" si="32"/>
        <v>312471</v>
      </c>
      <c r="AT13" s="181">
        <v>606588</v>
      </c>
      <c r="AU13" s="181">
        <v>371396</v>
      </c>
      <c r="AV13" s="181">
        <v>514830</v>
      </c>
      <c r="AW13" s="181">
        <v>252548</v>
      </c>
      <c r="AX13" s="181">
        <v>517985</v>
      </c>
      <c r="AY13" s="177">
        <v>415448</v>
      </c>
      <c r="AZ13" s="177">
        <v>122879</v>
      </c>
      <c r="BA13" s="177">
        <v>328364</v>
      </c>
      <c r="BB13" s="177">
        <v>108913</v>
      </c>
      <c r="BC13" s="177">
        <v>188420</v>
      </c>
      <c r="BD13" s="177">
        <v>133351</v>
      </c>
      <c r="BE13" s="177">
        <v>131116</v>
      </c>
      <c r="BF13" s="179">
        <v>310733</v>
      </c>
      <c r="BG13" s="177">
        <v>54445</v>
      </c>
      <c r="BH13" s="177">
        <v>294761</v>
      </c>
      <c r="BI13" s="177">
        <v>432271</v>
      </c>
      <c r="BJ13" s="177">
        <v>226789</v>
      </c>
      <c r="BK13" s="177">
        <v>147312</v>
      </c>
      <c r="BL13" s="177">
        <v>313174</v>
      </c>
      <c r="BM13" s="177">
        <v>147006</v>
      </c>
      <c r="BN13" s="177">
        <v>537625</v>
      </c>
      <c r="BO13" s="177">
        <v>119781</v>
      </c>
      <c r="BP13" s="177">
        <v>157271</v>
      </c>
      <c r="BQ13" s="177">
        <v>193913</v>
      </c>
      <c r="BR13" s="179">
        <v>119878</v>
      </c>
      <c r="BS13" s="177">
        <v>224191</v>
      </c>
      <c r="BT13" s="177">
        <v>251266</v>
      </c>
      <c r="BU13" s="177">
        <v>158342</v>
      </c>
      <c r="BV13" s="177">
        <v>417513</v>
      </c>
      <c r="BW13" s="177">
        <v>139316</v>
      </c>
      <c r="BX13" s="177">
        <v>206535</v>
      </c>
      <c r="BY13" s="177">
        <v>134189</v>
      </c>
      <c r="BZ13" s="177">
        <v>278983</v>
      </c>
      <c r="CA13" s="177">
        <v>222650</v>
      </c>
      <c r="CB13" s="179">
        <v>166140</v>
      </c>
      <c r="CC13" s="177">
        <v>280931</v>
      </c>
      <c r="CD13" s="177">
        <v>221304</v>
      </c>
      <c r="CE13" s="177">
        <v>188393</v>
      </c>
      <c r="CF13" s="177">
        <v>122801</v>
      </c>
      <c r="CG13" s="177">
        <v>189670</v>
      </c>
      <c r="CH13" s="177">
        <v>189312</v>
      </c>
      <c r="CI13" s="177">
        <v>208367</v>
      </c>
      <c r="CJ13" s="177">
        <v>276965</v>
      </c>
      <c r="CK13" s="178">
        <v>130215</v>
      </c>
      <c r="CL13" s="180">
        <v>10753880</v>
      </c>
      <c r="CM13" s="56"/>
    </row>
    <row r="14" spans="1:91">
      <c r="A14" s="93">
        <f>ROWS($A$3:A12)</f>
        <v>10</v>
      </c>
      <c r="B14" s="62" t="s">
        <v>64</v>
      </c>
      <c r="C14" s="312"/>
      <c r="D14" s="319" t="s">
        <v>13</v>
      </c>
      <c r="E14" s="320"/>
      <c r="F14" s="182">
        <f>F13/F7*100</f>
        <v>379.11391685689119</v>
      </c>
      <c r="G14" s="183">
        <f>G13/G7*100</f>
        <v>396.61718031877069</v>
      </c>
      <c r="H14" s="183">
        <f>H13/H7*100</f>
        <v>235.27401070708711</v>
      </c>
      <c r="I14" s="184">
        <f>I13/I7*100</f>
        <v>202.73883200432402</v>
      </c>
      <c r="J14" s="181"/>
      <c r="K14" s="185">
        <f t="shared" si="0"/>
        <v>205.56834570449465</v>
      </c>
      <c r="L14" s="186">
        <f t="shared" si="1"/>
        <v>484.12613326496842</v>
      </c>
      <c r="M14" s="186">
        <f t="shared" si="2"/>
        <v>102.2308936607355</v>
      </c>
      <c r="N14" s="186">
        <f t="shared" si="3"/>
        <v>393.15036505440787</v>
      </c>
      <c r="O14" s="186">
        <f t="shared" si="4"/>
        <v>209.0764128077561</v>
      </c>
      <c r="P14" s="183">
        <f>P13/P7*100</f>
        <v>376.09538176878004</v>
      </c>
      <c r="Q14" s="186">
        <f>'2010'!AU14</f>
        <v>601.11030185320067</v>
      </c>
      <c r="R14" s="183">
        <f>R13/R7*100</f>
        <v>1257.6724783877787</v>
      </c>
      <c r="S14" s="186">
        <f t="shared" si="6"/>
        <v>802.56594126083428</v>
      </c>
      <c r="T14" s="186">
        <f t="shared" si="7"/>
        <v>140.21448066326795</v>
      </c>
      <c r="U14" s="187">
        <f t="shared" si="8"/>
        <v>126.96679941509828</v>
      </c>
      <c r="V14" s="183">
        <f>V13/V7*100</f>
        <v>319.96222808774007</v>
      </c>
      <c r="W14" s="186">
        <f t="shared" si="10"/>
        <v>137.6831901502274</v>
      </c>
      <c r="X14" s="183">
        <f>X13/X7*100</f>
        <v>577.71562067924287</v>
      </c>
      <c r="Y14" s="183">
        <f>Y13/Y7*100</f>
        <v>758.73128088179396</v>
      </c>
      <c r="Z14" s="186">
        <f t="shared" si="13"/>
        <v>130.52349326987959</v>
      </c>
      <c r="AA14" s="183">
        <f>AA13/AA7*100</f>
        <v>467.02894235350163</v>
      </c>
      <c r="AB14" s="187">
        <f t="shared" si="15"/>
        <v>197.20254291482237</v>
      </c>
      <c r="AC14" s="186">
        <f t="shared" si="16"/>
        <v>201.44449754698761</v>
      </c>
      <c r="AD14" s="186">
        <f t="shared" si="17"/>
        <v>232.8969818203212</v>
      </c>
      <c r="AE14" s="183">
        <f>AE13/AE7*100</f>
        <v>310.47414440475649</v>
      </c>
      <c r="AF14" s="186">
        <f t="shared" si="19"/>
        <v>275.97704426292495</v>
      </c>
      <c r="AG14" s="186">
        <f t="shared" si="20"/>
        <v>225.57905827052434</v>
      </c>
      <c r="AH14" s="186">
        <f t="shared" si="21"/>
        <v>341.0633511821805</v>
      </c>
      <c r="AI14" s="186">
        <f t="shared" si="22"/>
        <v>181.06390444874779</v>
      </c>
      <c r="AJ14" s="186">
        <f t="shared" si="23"/>
        <v>182.73166746101995</v>
      </c>
      <c r="AK14" s="187">
        <f t="shared" si="24"/>
        <v>146.87577354220446</v>
      </c>
      <c r="AL14" s="186">
        <f t="shared" si="25"/>
        <v>205.2837466765462</v>
      </c>
      <c r="AM14" s="186">
        <f t="shared" si="26"/>
        <v>134.28763965242064</v>
      </c>
      <c r="AN14" s="186">
        <f t="shared" si="27"/>
        <v>169.72662593529964</v>
      </c>
      <c r="AO14" s="186">
        <f t="shared" si="28"/>
        <v>256.78311579101313</v>
      </c>
      <c r="AP14" s="186">
        <f t="shared" si="29"/>
        <v>426.25678955275629</v>
      </c>
      <c r="AQ14" s="186">
        <f t="shared" si="30"/>
        <v>108.11966521638048</v>
      </c>
      <c r="AR14" s="186">
        <f t="shared" si="31"/>
        <v>313.43281336963554</v>
      </c>
      <c r="AS14" s="184">
        <f t="shared" ref="AS14:CL14" si="34">AS13/AS7*100</f>
        <v>211.6997852318074</v>
      </c>
      <c r="AT14" s="183">
        <f t="shared" si="34"/>
        <v>2925.4304316373282</v>
      </c>
      <c r="AU14" s="183">
        <f t="shared" si="34"/>
        <v>601.11030185320067</v>
      </c>
      <c r="AV14" s="183">
        <f t="shared" si="34"/>
        <v>802.56594126083428</v>
      </c>
      <c r="AW14" s="183">
        <f t="shared" si="34"/>
        <v>393.15036505440787</v>
      </c>
      <c r="AX14" s="183">
        <f t="shared" si="34"/>
        <v>754.17867854750875</v>
      </c>
      <c r="AY14" s="183">
        <f t="shared" si="34"/>
        <v>484.12613326496842</v>
      </c>
      <c r="AZ14" s="183">
        <f t="shared" si="34"/>
        <v>1230.2663195835003</v>
      </c>
      <c r="BA14" s="183">
        <f t="shared" si="34"/>
        <v>298.53172474612018</v>
      </c>
      <c r="BB14" s="183">
        <f t="shared" si="34"/>
        <v>140.21448066326795</v>
      </c>
      <c r="BC14" s="183">
        <f t="shared" si="34"/>
        <v>126.96679941509828</v>
      </c>
      <c r="BD14" s="183">
        <f t="shared" si="34"/>
        <v>102.2308936607355</v>
      </c>
      <c r="BE14" s="183">
        <f t="shared" si="34"/>
        <v>209.0764128077561</v>
      </c>
      <c r="BF14" s="188">
        <f t="shared" si="34"/>
        <v>205.56834570449465</v>
      </c>
      <c r="BG14" s="183">
        <f t="shared" si="34"/>
        <v>388.31039155552384</v>
      </c>
      <c r="BH14" s="183">
        <f t="shared" si="34"/>
        <v>1699.302432837542</v>
      </c>
      <c r="BI14" s="183">
        <f t="shared" si="34"/>
        <v>398.40645161290325</v>
      </c>
      <c r="BJ14" s="183">
        <f t="shared" si="34"/>
        <v>306.99018612521149</v>
      </c>
      <c r="BK14" s="183">
        <f t="shared" si="34"/>
        <v>1353.5973536708627</v>
      </c>
      <c r="BL14" s="183">
        <f t="shared" si="34"/>
        <v>2160.416666666667</v>
      </c>
      <c r="BM14" s="183">
        <f t="shared" si="34"/>
        <v>130.52349326987959</v>
      </c>
      <c r="BN14" s="183">
        <f t="shared" si="34"/>
        <v>506.37650582550793</v>
      </c>
      <c r="BO14" s="183">
        <f t="shared" si="34"/>
        <v>1222.2551020408164</v>
      </c>
      <c r="BP14" s="183">
        <f t="shared" si="34"/>
        <v>197.20254291482237</v>
      </c>
      <c r="BQ14" s="183">
        <f t="shared" si="34"/>
        <v>338.01596708966667</v>
      </c>
      <c r="BR14" s="188">
        <f t="shared" si="34"/>
        <v>137.6831901502274</v>
      </c>
      <c r="BS14" s="183">
        <f t="shared" si="34"/>
        <v>1464.7262511433426</v>
      </c>
      <c r="BT14" s="183">
        <f t="shared" si="34"/>
        <v>182.29741788976514</v>
      </c>
      <c r="BU14" s="183">
        <f t="shared" si="34"/>
        <v>232.8969818203212</v>
      </c>
      <c r="BV14" s="183">
        <f t="shared" si="34"/>
        <v>225.57905827052434</v>
      </c>
      <c r="BW14" s="183">
        <f t="shared" si="34"/>
        <v>181.06390444874779</v>
      </c>
      <c r="BX14" s="183">
        <f t="shared" si="34"/>
        <v>201.44449754698761</v>
      </c>
      <c r="BY14" s="183">
        <f t="shared" si="34"/>
        <v>182.73166746101995</v>
      </c>
      <c r="BZ14" s="183">
        <f t="shared" si="34"/>
        <v>341.0633511821805</v>
      </c>
      <c r="CA14" s="183">
        <f t="shared" si="34"/>
        <v>275.97704426292495</v>
      </c>
      <c r="CB14" s="188">
        <f t="shared" si="34"/>
        <v>146.87577354220446</v>
      </c>
      <c r="CC14" s="183">
        <f t="shared" si="34"/>
        <v>256.78311579101313</v>
      </c>
      <c r="CD14" s="183">
        <f t="shared" si="34"/>
        <v>426.25678955275629</v>
      </c>
      <c r="CE14" s="183">
        <f t="shared" si="34"/>
        <v>205.2837466765462</v>
      </c>
      <c r="CF14" s="183">
        <f t="shared" si="34"/>
        <v>1034.63644788946</v>
      </c>
      <c r="CG14" s="183">
        <f t="shared" si="34"/>
        <v>139.73860254030001</v>
      </c>
      <c r="CH14" s="183">
        <f t="shared" si="34"/>
        <v>134.28763965242064</v>
      </c>
      <c r="CI14" s="183">
        <f t="shared" si="34"/>
        <v>313.43281336963554</v>
      </c>
      <c r="CJ14" s="183">
        <f t="shared" si="34"/>
        <v>169.72662593529964</v>
      </c>
      <c r="CK14" s="184">
        <f t="shared" si="34"/>
        <v>108.11966521638048</v>
      </c>
      <c r="CL14" s="189">
        <f t="shared" si="34"/>
        <v>300.79537965980705</v>
      </c>
    </row>
    <row r="15" spans="1:91">
      <c r="A15" s="93">
        <f>ROWS($A$3:A13)</f>
        <v>11</v>
      </c>
      <c r="B15" s="67" t="s">
        <v>303</v>
      </c>
      <c r="C15" s="312"/>
      <c r="D15" s="319"/>
      <c r="E15" s="320"/>
      <c r="F15" s="377"/>
      <c r="G15" s="181"/>
      <c r="H15" s="181"/>
      <c r="I15" s="373"/>
      <c r="J15" s="181"/>
      <c r="K15" s="185"/>
      <c r="L15" s="186"/>
      <c r="M15" s="186"/>
      <c r="N15" s="186"/>
      <c r="O15" s="186"/>
      <c r="P15" s="183"/>
      <c r="Q15" s="186"/>
      <c r="R15" s="183"/>
      <c r="S15" s="186"/>
      <c r="T15" s="186"/>
      <c r="U15" s="187"/>
      <c r="V15" s="183"/>
      <c r="W15" s="186"/>
      <c r="X15" s="183"/>
      <c r="Y15" s="183"/>
      <c r="Z15" s="186"/>
      <c r="AA15" s="183"/>
      <c r="AB15" s="187"/>
      <c r="AC15" s="186"/>
      <c r="AD15" s="186"/>
      <c r="AE15" s="183"/>
      <c r="AF15" s="186"/>
      <c r="AG15" s="186"/>
      <c r="AH15" s="186"/>
      <c r="AI15" s="186"/>
      <c r="AJ15" s="186"/>
      <c r="AK15" s="187"/>
      <c r="AL15" s="186"/>
      <c r="AM15" s="186"/>
      <c r="AN15" s="186"/>
      <c r="AO15" s="186"/>
      <c r="AP15" s="186"/>
      <c r="AQ15" s="186"/>
      <c r="AR15" s="186"/>
      <c r="AS15" s="184"/>
      <c r="AT15" s="183"/>
      <c r="AU15" s="183"/>
      <c r="AV15" s="183"/>
      <c r="AW15" s="183"/>
      <c r="AX15" s="183"/>
      <c r="AY15" s="183"/>
      <c r="AZ15" s="183"/>
      <c r="BA15" s="183"/>
      <c r="BB15" s="183"/>
      <c r="BC15" s="183"/>
      <c r="BD15" s="183"/>
      <c r="BE15" s="183"/>
      <c r="BF15" s="188"/>
      <c r="BG15" s="183"/>
      <c r="BH15" s="183"/>
      <c r="BI15" s="183"/>
      <c r="BJ15" s="183"/>
      <c r="BK15" s="183"/>
      <c r="BL15" s="183"/>
      <c r="BM15" s="183"/>
      <c r="BN15" s="183"/>
      <c r="BO15" s="183"/>
      <c r="BP15" s="183"/>
      <c r="BQ15" s="183"/>
      <c r="BR15" s="188"/>
      <c r="BS15" s="183"/>
      <c r="BT15" s="183"/>
      <c r="BU15" s="183"/>
      <c r="BV15" s="183"/>
      <c r="BW15" s="183"/>
      <c r="BX15" s="183"/>
      <c r="BY15" s="183"/>
      <c r="BZ15" s="183"/>
      <c r="CA15" s="183"/>
      <c r="CB15" s="188"/>
      <c r="CC15" s="183"/>
      <c r="CD15" s="183"/>
      <c r="CE15" s="183"/>
      <c r="CF15" s="183"/>
      <c r="CG15" s="183"/>
      <c r="CH15" s="183"/>
      <c r="CI15" s="183"/>
      <c r="CJ15" s="183"/>
      <c r="CK15" s="184"/>
      <c r="CL15" s="189"/>
    </row>
    <row r="16" spans="1:91">
      <c r="A16" s="93">
        <f>ROWS($A$3:A14)</f>
        <v>12</v>
      </c>
      <c r="B16" s="106" t="s">
        <v>214</v>
      </c>
      <c r="C16" s="242">
        <v>2009</v>
      </c>
      <c r="D16" s="319" t="s">
        <v>12</v>
      </c>
      <c r="E16" s="322">
        <v>40679</v>
      </c>
      <c r="F16" s="156">
        <v>2147800</v>
      </c>
      <c r="G16" s="177">
        <v>1430400</v>
      </c>
      <c r="H16" s="177">
        <v>1079400</v>
      </c>
      <c r="I16" s="178">
        <v>914000</v>
      </c>
      <c r="J16" s="181"/>
      <c r="K16" s="156">
        <f t="shared" si="0"/>
        <v>149400</v>
      </c>
      <c r="L16" s="177">
        <f t="shared" si="1"/>
        <v>181300</v>
      </c>
      <c r="M16" s="177">
        <f t="shared" si="2"/>
        <v>70600</v>
      </c>
      <c r="N16" s="177">
        <f t="shared" si="3"/>
        <v>111200</v>
      </c>
      <c r="O16" s="177">
        <f t="shared" si="4"/>
        <v>63800</v>
      </c>
      <c r="P16" s="177">
        <f>AZ16+BA16</f>
        <v>244700</v>
      </c>
      <c r="Q16" s="177">
        <f>'2010'!AU16</f>
        <v>211400</v>
      </c>
      <c r="R16" s="177">
        <f t="shared" si="33"/>
        <v>706900</v>
      </c>
      <c r="S16" s="177">
        <f t="shared" si="6"/>
        <v>251500</v>
      </c>
      <c r="T16" s="177">
        <f t="shared" si="7"/>
        <v>61700</v>
      </c>
      <c r="U16" s="179">
        <f t="shared" si="8"/>
        <v>95400</v>
      </c>
      <c r="V16" s="177">
        <f>BG16+BJ16</f>
        <v>152400</v>
      </c>
      <c r="W16" s="177">
        <f t="shared" si="10"/>
        <v>59600</v>
      </c>
      <c r="X16" s="177">
        <f>BH16+BI16</f>
        <v>409500</v>
      </c>
      <c r="Y16" s="177">
        <f>BK16+BL16+BN16</f>
        <v>544600</v>
      </c>
      <c r="Z16" s="177">
        <f t="shared" si="13"/>
        <v>61500</v>
      </c>
      <c r="AA16" s="177">
        <f>BO16+BQ16</f>
        <v>141900</v>
      </c>
      <c r="AB16" s="179">
        <f t="shared" si="15"/>
        <v>60800</v>
      </c>
      <c r="AC16" s="177">
        <f t="shared" si="16"/>
        <v>106700</v>
      </c>
      <c r="AD16" s="177">
        <f t="shared" si="17"/>
        <v>63800</v>
      </c>
      <c r="AE16" s="177">
        <f>BS16+BT16</f>
        <v>253800</v>
      </c>
      <c r="AF16" s="177">
        <f t="shared" si="19"/>
        <v>100100</v>
      </c>
      <c r="AG16" s="177">
        <f t="shared" si="20"/>
        <v>218900</v>
      </c>
      <c r="AH16" s="177">
        <f t="shared" si="21"/>
        <v>127800</v>
      </c>
      <c r="AI16" s="177">
        <f t="shared" si="22"/>
        <v>68400</v>
      </c>
      <c r="AJ16" s="177">
        <f t="shared" si="23"/>
        <v>69500</v>
      </c>
      <c r="AK16" s="179">
        <f t="shared" si="24"/>
        <v>70400</v>
      </c>
      <c r="AL16" s="177">
        <f t="shared" si="25"/>
        <v>87300</v>
      </c>
      <c r="AM16" s="177">
        <f t="shared" si="26"/>
        <v>95400</v>
      </c>
      <c r="AN16" s="177">
        <f t="shared" si="27"/>
        <v>141300</v>
      </c>
      <c r="AO16" s="177">
        <f t="shared" si="28"/>
        <v>138400</v>
      </c>
      <c r="AP16" s="177">
        <f t="shared" si="29"/>
        <v>97300</v>
      </c>
      <c r="AQ16" s="177">
        <f t="shared" si="30"/>
        <v>65000</v>
      </c>
      <c r="AR16" s="177">
        <f t="shared" si="31"/>
        <v>107900</v>
      </c>
      <c r="AS16" s="178">
        <f>CF16+CG16</f>
        <v>181200</v>
      </c>
      <c r="AT16" s="181">
        <v>470600</v>
      </c>
      <c r="AU16" s="181">
        <v>211400</v>
      </c>
      <c r="AV16" s="181">
        <v>251500</v>
      </c>
      <c r="AW16" s="181">
        <v>111200</v>
      </c>
      <c r="AX16" s="181">
        <v>236300</v>
      </c>
      <c r="AY16" s="177">
        <v>181300</v>
      </c>
      <c r="AZ16" s="177">
        <v>92600</v>
      </c>
      <c r="BA16" s="177">
        <v>152100</v>
      </c>
      <c r="BB16" s="177">
        <v>61700</v>
      </c>
      <c r="BC16" s="177">
        <v>95400</v>
      </c>
      <c r="BD16" s="177">
        <v>70600</v>
      </c>
      <c r="BE16" s="177">
        <v>63800</v>
      </c>
      <c r="BF16" s="179">
        <v>149400</v>
      </c>
      <c r="BG16" s="177">
        <v>42700</v>
      </c>
      <c r="BH16" s="177">
        <v>218500</v>
      </c>
      <c r="BI16" s="177">
        <v>191000</v>
      </c>
      <c r="BJ16" s="177">
        <v>109700</v>
      </c>
      <c r="BK16" s="177">
        <v>110300</v>
      </c>
      <c r="BL16" s="177">
        <v>220200</v>
      </c>
      <c r="BM16" s="177">
        <v>61500</v>
      </c>
      <c r="BN16" s="177">
        <v>214100</v>
      </c>
      <c r="BO16" s="177">
        <v>68700</v>
      </c>
      <c r="BP16" s="177">
        <v>60800</v>
      </c>
      <c r="BQ16" s="177">
        <v>73200</v>
      </c>
      <c r="BR16" s="179">
        <v>59600</v>
      </c>
      <c r="BS16" s="177">
        <v>149800</v>
      </c>
      <c r="BT16" s="177">
        <v>104000</v>
      </c>
      <c r="BU16" s="177">
        <v>63800</v>
      </c>
      <c r="BV16" s="177">
        <v>218900</v>
      </c>
      <c r="BW16" s="177">
        <v>68400</v>
      </c>
      <c r="BX16" s="177">
        <v>106700</v>
      </c>
      <c r="BY16" s="177">
        <v>69500</v>
      </c>
      <c r="BZ16" s="177">
        <v>127800</v>
      </c>
      <c r="CA16" s="177">
        <v>100100</v>
      </c>
      <c r="CB16" s="179">
        <v>70400</v>
      </c>
      <c r="CC16" s="177">
        <v>138400</v>
      </c>
      <c r="CD16" s="177">
        <v>97300</v>
      </c>
      <c r="CE16" s="177">
        <v>87300</v>
      </c>
      <c r="CF16" s="177">
        <v>109800</v>
      </c>
      <c r="CG16" s="177">
        <v>71400</v>
      </c>
      <c r="CH16" s="177">
        <v>95400</v>
      </c>
      <c r="CI16" s="177">
        <v>107900</v>
      </c>
      <c r="CJ16" s="177">
        <v>141300</v>
      </c>
      <c r="CK16" s="178">
        <v>65000</v>
      </c>
      <c r="CL16" s="180">
        <v>5571500</v>
      </c>
    </row>
    <row r="17" spans="1:90" ht="14.25">
      <c r="A17" s="93">
        <f>ROWS($A$3:A15)</f>
        <v>13</v>
      </c>
      <c r="B17" s="62" t="s">
        <v>262</v>
      </c>
      <c r="C17" s="242">
        <v>2010</v>
      </c>
      <c r="D17" s="319" t="s">
        <v>4</v>
      </c>
      <c r="E17" s="322">
        <v>40815</v>
      </c>
      <c r="F17" s="207">
        <f>(AT16*AT17+AU16*AU17+AV16*AV17+AW16*AW17+AX16*AX17+AY16*AY17+AZ16*AZ17+BA16*BA17+BB16*BB17+BC16*BC17+BD16*BD17+BE16*BE17+BF16*BF17)/F16</f>
        <v>4.5980724462240428</v>
      </c>
      <c r="G17" s="208">
        <f>(BG16*BG17+BH16*BH17+BI16*BI17+BJ16*BJ17+BK16*BK17+BL16*BL17+BM16*BM17+BN16*BN17+BO16*BO17+BP16*BP17+BQ16*BQ17+BR16*BR17)/G16</f>
        <v>4.9634577740492167</v>
      </c>
      <c r="H17" s="208">
        <f>(BS16*BS17+BT16*BT17+BU16*BU17+BV16*BV17+BW16*BW17+BX16*BX17+BY16*BY17+BZ16*BZ17+CA16*CA17+CB16*CB17)/H16</f>
        <v>4.2283583472299426</v>
      </c>
      <c r="I17" s="209">
        <f>(CC16*CC17+CD16*CD17+CE16*CE17+CF16*CF17+CG16*CG17+CH16*CH17+CI16*CI17+CJ16*CJ17+CK16*CK17)/I16</f>
        <v>3.8945951859956236</v>
      </c>
      <c r="J17" s="213"/>
      <c r="K17" s="210">
        <f t="shared" si="0"/>
        <v>4.2</v>
      </c>
      <c r="L17" s="211">
        <f t="shared" si="1"/>
        <v>4.3</v>
      </c>
      <c r="M17" s="211">
        <f t="shared" si="2"/>
        <v>3.6</v>
      </c>
      <c r="N17" s="211">
        <f t="shared" si="3"/>
        <v>5</v>
      </c>
      <c r="O17" s="211">
        <f t="shared" si="4"/>
        <v>5.2</v>
      </c>
      <c r="P17" s="208">
        <f>ROUND((AZ16*AZ17/100+BA16*BA17/100)/P16%,1)</f>
        <v>4.9000000000000004</v>
      </c>
      <c r="Q17" s="211">
        <f>'2010'!AU17</f>
        <v>3.8</v>
      </c>
      <c r="R17" s="208">
        <f>ROUND((AT16*AT17/100+AX16*AX17/100)/R16%,1)</f>
        <v>5.3</v>
      </c>
      <c r="S17" s="211">
        <f t="shared" si="6"/>
        <v>4.3</v>
      </c>
      <c r="T17" s="211">
        <f t="shared" si="7"/>
        <v>3</v>
      </c>
      <c r="U17" s="212">
        <f t="shared" si="8"/>
        <v>3.5</v>
      </c>
      <c r="V17" s="208">
        <f>ROUND((BG16*BG17/100+BJ16*BJ17/100)/V16%,1)</f>
        <v>4.3</v>
      </c>
      <c r="W17" s="211">
        <f t="shared" si="10"/>
        <v>3.9</v>
      </c>
      <c r="X17" s="208">
        <f>ROUND((BH16*BH17/100+BI16*BI17/100)/X16%,1)</f>
        <v>4.7</v>
      </c>
      <c r="Y17" s="208">
        <f>ROUND((BK16*BK17/100+BL16*BL17/100+BN16*BN17/100)/Y16%,1)</f>
        <v>5.4</v>
      </c>
      <c r="Z17" s="211">
        <f t="shared" si="13"/>
        <v>4.5</v>
      </c>
      <c r="AA17" s="208">
        <f>ROUND((BO16*BO17/100+BQ16*BQ17/100)/AA16%,1)</f>
        <v>5.7</v>
      </c>
      <c r="AB17" s="212">
        <f t="shared" si="15"/>
        <v>4</v>
      </c>
      <c r="AC17" s="211">
        <f t="shared" si="16"/>
        <v>4.0999999999999996</v>
      </c>
      <c r="AD17" s="211">
        <f t="shared" si="17"/>
        <v>3.2</v>
      </c>
      <c r="AE17" s="208">
        <f>ROUND((BS16*BS17/100+BT16*BT17/100)/AE16%,1)</f>
        <v>5.0999999999999996</v>
      </c>
      <c r="AF17" s="211">
        <f t="shared" si="19"/>
        <v>4.2</v>
      </c>
      <c r="AG17" s="211">
        <f t="shared" si="20"/>
        <v>3.9</v>
      </c>
      <c r="AH17" s="211">
        <f t="shared" si="21"/>
        <v>4.7</v>
      </c>
      <c r="AI17" s="211">
        <f t="shared" si="22"/>
        <v>3.5</v>
      </c>
      <c r="AJ17" s="211">
        <f t="shared" si="23"/>
        <v>3.7</v>
      </c>
      <c r="AK17" s="212">
        <f t="shared" si="24"/>
        <v>3.8</v>
      </c>
      <c r="AL17" s="211">
        <f t="shared" si="25"/>
        <v>4.8</v>
      </c>
      <c r="AM17" s="211">
        <f t="shared" si="26"/>
        <v>2.9</v>
      </c>
      <c r="AN17" s="211">
        <f t="shared" si="27"/>
        <v>3.2</v>
      </c>
      <c r="AO17" s="211">
        <f t="shared" si="28"/>
        <v>4.2</v>
      </c>
      <c r="AP17" s="211">
        <f t="shared" si="29"/>
        <v>4.0999999999999996</v>
      </c>
      <c r="AQ17" s="211">
        <f t="shared" si="30"/>
        <v>4.2</v>
      </c>
      <c r="AR17" s="211">
        <f t="shared" si="31"/>
        <v>3.7</v>
      </c>
      <c r="AS17" s="209">
        <f>ROUND((CF16*CF17/100+CG16*CG17/100)/AS16%,1)</f>
        <v>4.2</v>
      </c>
      <c r="AT17" s="213">
        <v>5.8</v>
      </c>
      <c r="AU17" s="211">
        <v>3.8</v>
      </c>
      <c r="AV17" s="211">
        <v>4.3</v>
      </c>
      <c r="AW17" s="211">
        <v>5</v>
      </c>
      <c r="AX17" s="211">
        <v>4.2</v>
      </c>
      <c r="AY17" s="211">
        <v>4.3</v>
      </c>
      <c r="AZ17" s="211">
        <v>6.4</v>
      </c>
      <c r="BA17" s="211">
        <v>4</v>
      </c>
      <c r="BB17" s="211">
        <v>3</v>
      </c>
      <c r="BC17" s="211">
        <v>3.5</v>
      </c>
      <c r="BD17" s="211">
        <v>3.6</v>
      </c>
      <c r="BE17" s="211">
        <v>5.2</v>
      </c>
      <c r="BF17" s="212">
        <v>4.2</v>
      </c>
      <c r="BG17" s="211">
        <v>6.1</v>
      </c>
      <c r="BH17" s="211">
        <v>5.8</v>
      </c>
      <c r="BI17" s="211">
        <v>3.5</v>
      </c>
      <c r="BJ17" s="211">
        <v>3.6</v>
      </c>
      <c r="BK17" s="211">
        <v>5.6</v>
      </c>
      <c r="BL17" s="211">
        <v>7</v>
      </c>
      <c r="BM17" s="211">
        <v>4.5</v>
      </c>
      <c r="BN17" s="211">
        <v>3.7</v>
      </c>
      <c r="BO17" s="211">
        <v>8.1999999999999993</v>
      </c>
      <c r="BP17" s="211">
        <v>4</v>
      </c>
      <c r="BQ17" s="211">
        <v>3.3</v>
      </c>
      <c r="BR17" s="212">
        <v>3.9</v>
      </c>
      <c r="BS17" s="211">
        <v>6</v>
      </c>
      <c r="BT17" s="211">
        <v>3.7</v>
      </c>
      <c r="BU17" s="211">
        <v>3.2</v>
      </c>
      <c r="BV17" s="211">
        <v>3.9</v>
      </c>
      <c r="BW17" s="211">
        <v>3.5</v>
      </c>
      <c r="BX17" s="211">
        <v>4.0999999999999996</v>
      </c>
      <c r="BY17" s="211">
        <v>3.7</v>
      </c>
      <c r="BZ17" s="211">
        <v>4.7</v>
      </c>
      <c r="CA17" s="211">
        <v>4.2</v>
      </c>
      <c r="CB17" s="212">
        <v>3.8</v>
      </c>
      <c r="CC17" s="211">
        <v>4.2</v>
      </c>
      <c r="CD17" s="211">
        <v>4.0999999999999996</v>
      </c>
      <c r="CE17" s="211">
        <v>4.8</v>
      </c>
      <c r="CF17" s="211">
        <v>4.9000000000000004</v>
      </c>
      <c r="CG17" s="213">
        <v>3.1</v>
      </c>
      <c r="CH17" s="211">
        <v>2.9</v>
      </c>
      <c r="CI17" s="211">
        <v>3.7</v>
      </c>
      <c r="CJ17" s="211">
        <v>3.2</v>
      </c>
      <c r="CK17" s="214">
        <v>4.2</v>
      </c>
      <c r="CL17" s="403">
        <v>4.9000000000000004</v>
      </c>
    </row>
    <row r="18" spans="1:90">
      <c r="A18" s="93">
        <f>ROWS($A$3:A16)</f>
        <v>14</v>
      </c>
      <c r="B18" s="297" t="s">
        <v>304</v>
      </c>
      <c r="C18" s="242">
        <v>2010</v>
      </c>
      <c r="D18" s="319" t="s">
        <v>12</v>
      </c>
      <c r="E18" s="322">
        <v>40897</v>
      </c>
      <c r="F18" s="377">
        <v>65993</v>
      </c>
      <c r="G18" s="181">
        <v>23507</v>
      </c>
      <c r="H18" s="181">
        <v>61838</v>
      </c>
      <c r="I18" s="373">
        <v>38779</v>
      </c>
      <c r="J18" s="213"/>
      <c r="K18" s="156">
        <f>BF18</f>
        <v>4934</v>
      </c>
      <c r="L18" s="177">
        <f>AY18</f>
        <v>7021</v>
      </c>
      <c r="M18" s="177">
        <f>BD18</f>
        <v>5124</v>
      </c>
      <c r="N18" s="177">
        <f>AW18</f>
        <v>2210</v>
      </c>
      <c r="O18" s="177">
        <f>BE18</f>
        <v>1489</v>
      </c>
      <c r="P18" s="183">
        <f>AZ18+BA18</f>
        <v>17120</v>
      </c>
      <c r="Q18" s="177">
        <f>'2010'!AU18</f>
        <v>2058</v>
      </c>
      <c r="R18" s="183">
        <f>AT18+AX18</f>
        <v>10987</v>
      </c>
      <c r="S18" s="177">
        <f>AV18</f>
        <v>3162</v>
      </c>
      <c r="T18" s="177">
        <f>BB18</f>
        <v>6346</v>
      </c>
      <c r="U18" s="179">
        <f>BC18</f>
        <v>5542</v>
      </c>
      <c r="V18" s="183">
        <f>BG18+BJ18</f>
        <v>4880</v>
      </c>
      <c r="W18" s="177">
        <f>BR18</f>
        <v>1361</v>
      </c>
      <c r="X18" s="183">
        <f>BH18+BI18</f>
        <v>4844</v>
      </c>
      <c r="Y18" s="183">
        <f>BK18+BL18+BN18</f>
        <v>7056</v>
      </c>
      <c r="Z18" s="177">
        <f>BM18</f>
        <v>2304</v>
      </c>
      <c r="AA18" s="183">
        <f>BO18+BQ18</f>
        <v>1794</v>
      </c>
      <c r="AB18" s="179">
        <f>BP18</f>
        <v>1268</v>
      </c>
      <c r="AC18" s="177">
        <f>BX18</f>
        <v>2733</v>
      </c>
      <c r="AD18" s="177">
        <f>BU18</f>
        <v>7866</v>
      </c>
      <c r="AE18" s="183">
        <f>BS18+BT18</f>
        <v>18280</v>
      </c>
      <c r="AF18" s="177">
        <f>CA18</f>
        <v>4720</v>
      </c>
      <c r="AG18" s="177">
        <f>BV18</f>
        <v>17311</v>
      </c>
      <c r="AH18" s="177">
        <f>BZ18</f>
        <v>4262</v>
      </c>
      <c r="AI18" s="177">
        <f>BW18</f>
        <v>2093</v>
      </c>
      <c r="AJ18" s="177">
        <f>BY18</f>
        <v>1213</v>
      </c>
      <c r="AK18" s="179">
        <f>CB18</f>
        <v>3360</v>
      </c>
      <c r="AL18" s="177">
        <f>CE18</f>
        <v>1830</v>
      </c>
      <c r="AM18" s="177">
        <f>CH18</f>
        <v>4842</v>
      </c>
      <c r="AN18" s="177">
        <f>CJ18</f>
        <v>7938</v>
      </c>
      <c r="AO18" s="177">
        <f>CC18</f>
        <v>2927</v>
      </c>
      <c r="AP18" s="177">
        <f>CD18</f>
        <v>1223</v>
      </c>
      <c r="AQ18" s="177">
        <f>CK18</f>
        <v>3291</v>
      </c>
      <c r="AR18" s="177">
        <f>CI18</f>
        <v>11655</v>
      </c>
      <c r="AS18" s="184">
        <f>CF18+CG18</f>
        <v>5073</v>
      </c>
      <c r="AT18" s="181">
        <v>2162</v>
      </c>
      <c r="AU18" s="177">
        <v>2058</v>
      </c>
      <c r="AV18" s="177">
        <v>3162</v>
      </c>
      <c r="AW18" s="177">
        <v>2210</v>
      </c>
      <c r="AX18" s="177">
        <v>8825</v>
      </c>
      <c r="AY18" s="177">
        <v>7021</v>
      </c>
      <c r="AZ18" s="177">
        <v>1905</v>
      </c>
      <c r="BA18" s="177">
        <v>15215</v>
      </c>
      <c r="BB18" s="177">
        <v>6346</v>
      </c>
      <c r="BC18" s="177">
        <v>5542</v>
      </c>
      <c r="BD18" s="177">
        <v>5124</v>
      </c>
      <c r="BE18" s="177">
        <v>1489</v>
      </c>
      <c r="BF18" s="179">
        <v>4934</v>
      </c>
      <c r="BG18" s="177">
        <v>847</v>
      </c>
      <c r="BH18" s="177">
        <v>629</v>
      </c>
      <c r="BI18" s="177">
        <v>4215</v>
      </c>
      <c r="BJ18" s="177">
        <v>4033</v>
      </c>
      <c r="BK18" s="177">
        <v>594</v>
      </c>
      <c r="BL18" s="177">
        <v>413</v>
      </c>
      <c r="BM18" s="177">
        <v>2304</v>
      </c>
      <c r="BN18" s="177">
        <v>6049</v>
      </c>
      <c r="BO18" s="177">
        <v>89</v>
      </c>
      <c r="BP18" s="177">
        <v>1268</v>
      </c>
      <c r="BQ18" s="177">
        <v>1705</v>
      </c>
      <c r="BR18" s="179">
        <v>1361</v>
      </c>
      <c r="BS18" s="177">
        <v>1611</v>
      </c>
      <c r="BT18" s="177">
        <v>16669</v>
      </c>
      <c r="BU18" s="177">
        <v>7866</v>
      </c>
      <c r="BV18" s="177">
        <v>17311</v>
      </c>
      <c r="BW18" s="177">
        <v>2093</v>
      </c>
      <c r="BX18" s="177">
        <v>2733</v>
      </c>
      <c r="BY18" s="177">
        <v>1213</v>
      </c>
      <c r="BZ18" s="177">
        <v>4262</v>
      </c>
      <c r="CA18" s="177">
        <v>4720</v>
      </c>
      <c r="CB18" s="179">
        <v>3360</v>
      </c>
      <c r="CC18" s="177">
        <v>2927</v>
      </c>
      <c r="CD18" s="177">
        <v>1223</v>
      </c>
      <c r="CE18" s="177">
        <v>1830</v>
      </c>
      <c r="CF18" s="177">
        <v>352</v>
      </c>
      <c r="CG18" s="181">
        <v>4721</v>
      </c>
      <c r="CH18" s="177">
        <v>4842</v>
      </c>
      <c r="CI18" s="177">
        <v>11655</v>
      </c>
      <c r="CJ18" s="177">
        <v>7938</v>
      </c>
      <c r="CK18" s="178">
        <v>3291</v>
      </c>
      <c r="CL18" s="404">
        <v>190117</v>
      </c>
    </row>
    <row r="19" spans="1:90">
      <c r="A19" s="93">
        <f>ROWS($A$3:A17)</f>
        <v>15</v>
      </c>
      <c r="B19" s="297" t="s">
        <v>302</v>
      </c>
      <c r="C19" s="242">
        <v>2010</v>
      </c>
      <c r="D19" s="319" t="s">
        <v>12</v>
      </c>
      <c r="E19" s="322">
        <v>40897</v>
      </c>
      <c r="F19" s="377">
        <v>5615</v>
      </c>
      <c r="G19" s="181">
        <v>2911</v>
      </c>
      <c r="H19" s="181">
        <v>3441</v>
      </c>
      <c r="I19" s="373">
        <v>3372</v>
      </c>
      <c r="J19" s="181"/>
      <c r="K19" s="156">
        <f>BF19</f>
        <v>419</v>
      </c>
      <c r="L19" s="177">
        <f>AY19</f>
        <v>599</v>
      </c>
      <c r="M19" s="177">
        <f>BD19</f>
        <v>294</v>
      </c>
      <c r="N19" s="177">
        <f>AW19</f>
        <v>197</v>
      </c>
      <c r="O19" s="177">
        <f>BE19</f>
        <v>127</v>
      </c>
      <c r="P19" s="183">
        <f>AZ19+BA19</f>
        <v>874</v>
      </c>
      <c r="Q19" s="177">
        <f>'2010'!AU19</f>
        <v>245</v>
      </c>
      <c r="R19" s="183">
        <f>AT19+AX19</f>
        <v>1538</v>
      </c>
      <c r="S19" s="177">
        <f>AV19</f>
        <v>544</v>
      </c>
      <c r="T19" s="177">
        <f>BB19</f>
        <v>375</v>
      </c>
      <c r="U19" s="179">
        <f>BC19</f>
        <v>403</v>
      </c>
      <c r="V19" s="183">
        <f>BG19+BJ19</f>
        <v>641</v>
      </c>
      <c r="W19" s="177">
        <f>BR19</f>
        <v>114</v>
      </c>
      <c r="X19" s="183">
        <f>BH19+BI19</f>
        <v>456</v>
      </c>
      <c r="Y19" s="183">
        <f>BK19+BL19+BN19</f>
        <v>625</v>
      </c>
      <c r="Z19" s="177">
        <f>BM19</f>
        <v>620</v>
      </c>
      <c r="AA19" s="183">
        <f>BO19+BQ19</f>
        <v>307</v>
      </c>
      <c r="AB19" s="179">
        <f>BP19</f>
        <v>148</v>
      </c>
      <c r="AC19" s="177">
        <f>BX19</f>
        <v>152</v>
      </c>
      <c r="AD19" s="177">
        <f>BU19</f>
        <v>287</v>
      </c>
      <c r="AE19" s="183">
        <f>BS19+BT19</f>
        <v>725</v>
      </c>
      <c r="AF19" s="177">
        <f>CA19</f>
        <v>441</v>
      </c>
      <c r="AG19" s="177">
        <f>BV19</f>
        <v>749</v>
      </c>
      <c r="AH19" s="177">
        <f>BZ19</f>
        <v>675</v>
      </c>
      <c r="AI19" s="177">
        <f>BW19</f>
        <v>165</v>
      </c>
      <c r="AJ19" s="177">
        <f>BY19</f>
        <v>75</v>
      </c>
      <c r="AK19" s="179">
        <f>CB19</f>
        <v>172</v>
      </c>
      <c r="AL19" s="177">
        <f>CE19</f>
        <v>206</v>
      </c>
      <c r="AM19" s="177">
        <f>CH19</f>
        <v>449</v>
      </c>
      <c r="AN19" s="177">
        <f>CJ19</f>
        <v>699</v>
      </c>
      <c r="AO19" s="177">
        <f>CC19</f>
        <v>477</v>
      </c>
      <c r="AP19" s="177">
        <f>CD19</f>
        <v>152</v>
      </c>
      <c r="AQ19" s="177">
        <f>CK19</f>
        <v>380</v>
      </c>
      <c r="AR19" s="177">
        <f>CI19</f>
        <v>633</v>
      </c>
      <c r="AS19" s="184">
        <f>CF19+CG19</f>
        <v>376</v>
      </c>
      <c r="AT19" s="181">
        <v>362</v>
      </c>
      <c r="AU19" s="177">
        <v>245</v>
      </c>
      <c r="AV19" s="177">
        <v>544</v>
      </c>
      <c r="AW19" s="177">
        <v>197</v>
      </c>
      <c r="AX19" s="177">
        <v>1176</v>
      </c>
      <c r="AY19" s="177">
        <v>599</v>
      </c>
      <c r="AZ19" s="177">
        <v>203</v>
      </c>
      <c r="BA19" s="177">
        <v>671</v>
      </c>
      <c r="BB19" s="177">
        <v>375</v>
      </c>
      <c r="BC19" s="177">
        <v>403</v>
      </c>
      <c r="BD19" s="177">
        <v>294</v>
      </c>
      <c r="BE19" s="177">
        <v>127</v>
      </c>
      <c r="BF19" s="179">
        <v>419</v>
      </c>
      <c r="BG19" s="177">
        <v>131</v>
      </c>
      <c r="BH19" s="177">
        <v>364</v>
      </c>
      <c r="BI19" s="177">
        <v>92</v>
      </c>
      <c r="BJ19" s="177">
        <v>510</v>
      </c>
      <c r="BK19" s="177">
        <v>108</v>
      </c>
      <c r="BL19" s="177">
        <v>222</v>
      </c>
      <c r="BM19" s="177">
        <v>620</v>
      </c>
      <c r="BN19" s="177">
        <v>295</v>
      </c>
      <c r="BO19" s="177">
        <v>62</v>
      </c>
      <c r="BP19" s="177">
        <v>148</v>
      </c>
      <c r="BQ19" s="177">
        <v>245</v>
      </c>
      <c r="BR19" s="179">
        <v>114</v>
      </c>
      <c r="BS19" s="177">
        <v>103</v>
      </c>
      <c r="BT19" s="177">
        <v>622</v>
      </c>
      <c r="BU19" s="177">
        <v>287</v>
      </c>
      <c r="BV19" s="177">
        <v>749</v>
      </c>
      <c r="BW19" s="177">
        <v>165</v>
      </c>
      <c r="BX19" s="177">
        <v>152</v>
      </c>
      <c r="BY19" s="177">
        <v>75</v>
      </c>
      <c r="BZ19" s="177">
        <v>675</v>
      </c>
      <c r="CA19" s="177">
        <v>441</v>
      </c>
      <c r="CB19" s="179">
        <v>172</v>
      </c>
      <c r="CC19" s="177">
        <v>477</v>
      </c>
      <c r="CD19" s="177">
        <v>152</v>
      </c>
      <c r="CE19" s="177">
        <v>206</v>
      </c>
      <c r="CF19" s="177">
        <v>74</v>
      </c>
      <c r="CG19" s="181">
        <v>302</v>
      </c>
      <c r="CH19" s="177">
        <v>449</v>
      </c>
      <c r="CI19" s="177">
        <v>633</v>
      </c>
      <c r="CJ19" s="177">
        <v>699</v>
      </c>
      <c r="CK19" s="178">
        <v>380</v>
      </c>
      <c r="CL19" s="404">
        <v>15339</v>
      </c>
    </row>
    <row r="20" spans="1:90">
      <c r="A20" s="93">
        <f>ROWS($A$3:A18)</f>
        <v>16</v>
      </c>
      <c r="B20" s="106" t="s">
        <v>68</v>
      </c>
      <c r="C20" s="242">
        <v>2009</v>
      </c>
      <c r="D20" s="319" t="s">
        <v>3</v>
      </c>
      <c r="E20" s="322">
        <v>40875</v>
      </c>
      <c r="F20" s="210">
        <v>119.642</v>
      </c>
      <c r="G20" s="211">
        <v>80.956000000000003</v>
      </c>
      <c r="H20" s="211">
        <v>55.253999999999998</v>
      </c>
      <c r="I20" s="214">
        <v>48.87</v>
      </c>
      <c r="J20" s="213"/>
      <c r="K20" s="210">
        <f t="shared" si="0"/>
        <v>8.1790000000000003</v>
      </c>
      <c r="L20" s="211">
        <f t="shared" si="1"/>
        <v>9.5470000000000006</v>
      </c>
      <c r="M20" s="211">
        <f t="shared" si="2"/>
        <v>3.577</v>
      </c>
      <c r="N20" s="211">
        <f t="shared" si="3"/>
        <v>5.577</v>
      </c>
      <c r="O20" s="211">
        <f t="shared" si="4"/>
        <v>3.2160000000000002</v>
      </c>
      <c r="P20" s="211">
        <f>AZ20+BA20</f>
        <v>13.239000000000001</v>
      </c>
      <c r="Q20" s="211">
        <f>'2010'!AU20</f>
        <v>12.089</v>
      </c>
      <c r="R20" s="211">
        <f>AT20+AX20</f>
        <v>42.289000000000001</v>
      </c>
      <c r="S20" s="211">
        <f t="shared" si="6"/>
        <v>13.579000000000001</v>
      </c>
      <c r="T20" s="211">
        <f t="shared" si="7"/>
        <v>2.9460000000000002</v>
      </c>
      <c r="U20" s="212">
        <f t="shared" si="8"/>
        <v>5.4029999999999996</v>
      </c>
      <c r="V20" s="211">
        <f>BG20+BJ20</f>
        <v>8.07</v>
      </c>
      <c r="W20" s="211">
        <f t="shared" si="10"/>
        <v>3.1349999999999998</v>
      </c>
      <c r="X20" s="211">
        <f>BH20+BI20</f>
        <v>24.027999999999999</v>
      </c>
      <c r="Y20" s="211">
        <f>BK20+BL20+BN20</f>
        <v>32.101999999999997</v>
      </c>
      <c r="Z20" s="211">
        <f t="shared" si="13"/>
        <v>3.2050000000000001</v>
      </c>
      <c r="AA20" s="211">
        <f>BO20+BQ20</f>
        <v>7.3849999999999998</v>
      </c>
      <c r="AB20" s="212">
        <f t="shared" si="15"/>
        <v>3.0329999999999999</v>
      </c>
      <c r="AC20" s="211">
        <f t="shared" si="16"/>
        <v>5.4429999999999996</v>
      </c>
      <c r="AD20" s="211">
        <f t="shared" si="17"/>
        <v>3.0830000000000002</v>
      </c>
      <c r="AE20" s="211">
        <f>BS20+BT20</f>
        <v>12.149000000000001</v>
      </c>
      <c r="AF20" s="211">
        <f t="shared" si="19"/>
        <v>5.1779999999999999</v>
      </c>
      <c r="AG20" s="211">
        <f t="shared" si="20"/>
        <v>11.313000000000001</v>
      </c>
      <c r="AH20" s="211">
        <f t="shared" si="21"/>
        <v>6.9450000000000003</v>
      </c>
      <c r="AI20" s="211">
        <f t="shared" si="22"/>
        <v>3.629</v>
      </c>
      <c r="AJ20" s="211">
        <f t="shared" si="23"/>
        <v>3.7759999999999998</v>
      </c>
      <c r="AK20" s="212">
        <f t="shared" si="24"/>
        <v>3.7370000000000001</v>
      </c>
      <c r="AL20" s="211">
        <f t="shared" si="25"/>
        <v>4.5350000000000001</v>
      </c>
      <c r="AM20" s="211">
        <f t="shared" si="26"/>
        <v>5.6319999999999997</v>
      </c>
      <c r="AN20" s="211">
        <f t="shared" si="27"/>
        <v>7.3380000000000001</v>
      </c>
      <c r="AO20" s="211">
        <f t="shared" si="28"/>
        <v>7.234</v>
      </c>
      <c r="AP20" s="211">
        <f t="shared" si="29"/>
        <v>4.8689999999999998</v>
      </c>
      <c r="AQ20" s="211">
        <f t="shared" si="30"/>
        <v>3.2170000000000001</v>
      </c>
      <c r="AR20" s="211">
        <f t="shared" si="31"/>
        <v>6.0250000000000004</v>
      </c>
      <c r="AS20" s="214">
        <f>CF20+CG20</f>
        <v>10.02</v>
      </c>
      <c r="AT20" s="213">
        <v>28.690999999999999</v>
      </c>
      <c r="AU20" s="211">
        <v>12.089</v>
      </c>
      <c r="AV20" s="211">
        <v>13.579000000000001</v>
      </c>
      <c r="AW20" s="211">
        <v>5.577</v>
      </c>
      <c r="AX20" s="211">
        <v>13.598000000000001</v>
      </c>
      <c r="AY20" s="211">
        <v>9.5470000000000006</v>
      </c>
      <c r="AZ20" s="211">
        <v>4.55</v>
      </c>
      <c r="BA20" s="211">
        <v>8.6890000000000001</v>
      </c>
      <c r="BB20" s="211">
        <v>2.9460000000000002</v>
      </c>
      <c r="BC20" s="211">
        <v>5.4029999999999996</v>
      </c>
      <c r="BD20" s="211">
        <v>3.577</v>
      </c>
      <c r="BE20" s="211">
        <v>3.2160000000000002</v>
      </c>
      <c r="BF20" s="212">
        <v>8.1790000000000003</v>
      </c>
      <c r="BG20" s="211">
        <v>2.069</v>
      </c>
      <c r="BH20" s="211">
        <v>13.215999999999999</v>
      </c>
      <c r="BI20" s="211">
        <v>10.811999999999999</v>
      </c>
      <c r="BJ20" s="211">
        <v>6.0010000000000003</v>
      </c>
      <c r="BK20" s="211">
        <v>5.7130000000000001</v>
      </c>
      <c r="BL20" s="211">
        <v>13.994999999999999</v>
      </c>
      <c r="BM20" s="211">
        <v>3.2050000000000001</v>
      </c>
      <c r="BN20" s="211">
        <v>12.394</v>
      </c>
      <c r="BO20" s="211">
        <v>3.65</v>
      </c>
      <c r="BP20" s="211">
        <v>3.0329999999999999</v>
      </c>
      <c r="BQ20" s="211">
        <v>3.7349999999999999</v>
      </c>
      <c r="BR20" s="212">
        <v>3.1349999999999998</v>
      </c>
      <c r="BS20" s="211">
        <v>7.3529999999999998</v>
      </c>
      <c r="BT20" s="211">
        <v>4.7960000000000003</v>
      </c>
      <c r="BU20" s="211">
        <v>3.0830000000000002</v>
      </c>
      <c r="BV20" s="211">
        <v>11.313000000000001</v>
      </c>
      <c r="BW20" s="211">
        <v>3.629</v>
      </c>
      <c r="BX20" s="211">
        <v>5.4429999999999996</v>
      </c>
      <c r="BY20" s="211">
        <v>3.7759999999999998</v>
      </c>
      <c r="BZ20" s="211">
        <v>6.9450000000000003</v>
      </c>
      <c r="CA20" s="211">
        <v>5.1779999999999999</v>
      </c>
      <c r="CB20" s="212">
        <v>3.7370000000000001</v>
      </c>
      <c r="CC20" s="211">
        <v>7.234</v>
      </c>
      <c r="CD20" s="211">
        <v>4.8689999999999998</v>
      </c>
      <c r="CE20" s="211">
        <v>4.5350000000000001</v>
      </c>
      <c r="CF20" s="211">
        <v>5.8289999999999997</v>
      </c>
      <c r="CG20" s="213">
        <v>4.1909999999999998</v>
      </c>
      <c r="CH20" s="211">
        <v>5.6319999999999997</v>
      </c>
      <c r="CI20" s="211">
        <v>6.0250000000000004</v>
      </c>
      <c r="CJ20" s="211">
        <v>7.3380000000000001</v>
      </c>
      <c r="CK20" s="214">
        <v>3.2170000000000001</v>
      </c>
      <c r="CL20" s="215">
        <v>304.72300000000001</v>
      </c>
    </row>
    <row r="21" spans="1:90">
      <c r="A21" s="93">
        <f>ROWS($A$3:A19)</f>
        <v>17</v>
      </c>
      <c r="B21" s="60" t="s">
        <v>65</v>
      </c>
      <c r="C21" s="323"/>
      <c r="D21" s="321" t="s">
        <v>4</v>
      </c>
      <c r="E21" s="320"/>
      <c r="F21" s="207">
        <f>F118/F20%</f>
        <v>0.59009377977633271</v>
      </c>
      <c r="G21" s="208">
        <f>G118/G20%</f>
        <v>0.44962695785364887</v>
      </c>
      <c r="H21" s="208">
        <f>H118/H20%</f>
        <v>0.91758062764686721</v>
      </c>
      <c r="I21" s="209">
        <f>I118/I20%</f>
        <v>0.86556169429097607</v>
      </c>
      <c r="J21" s="213"/>
      <c r="K21" s="207">
        <f t="shared" ref="K21:AP21" si="35">K118/K20%</f>
        <v>0.90475608265069074</v>
      </c>
      <c r="L21" s="208">
        <f t="shared" si="35"/>
        <v>0.74368911700010465</v>
      </c>
      <c r="M21" s="208">
        <f t="shared" si="35"/>
        <v>1.481688565837294</v>
      </c>
      <c r="N21" s="208">
        <f t="shared" si="35"/>
        <v>0.55585440200824821</v>
      </c>
      <c r="O21" s="208">
        <f t="shared" si="35"/>
        <v>0.90174129353233834</v>
      </c>
      <c r="P21" s="208">
        <f t="shared" si="35"/>
        <v>0.71757685625802548</v>
      </c>
      <c r="Q21" s="208">
        <f t="shared" si="35"/>
        <v>0</v>
      </c>
      <c r="R21" s="208">
        <f t="shared" si="35"/>
        <v>0.29322045922107404</v>
      </c>
      <c r="S21" s="208">
        <f t="shared" si="35"/>
        <v>0.39030856469548569</v>
      </c>
      <c r="T21" s="208">
        <f t="shared" si="35"/>
        <v>1.9008825526137136</v>
      </c>
      <c r="U21" s="216">
        <f t="shared" si="35"/>
        <v>1.5546918378678514</v>
      </c>
      <c r="V21" s="208">
        <f t="shared" si="35"/>
        <v>0.70631970260223043</v>
      </c>
      <c r="W21" s="208">
        <f t="shared" si="35"/>
        <v>0.82934609250398728</v>
      </c>
      <c r="X21" s="208">
        <f t="shared" si="35"/>
        <v>0.28716497419677045</v>
      </c>
      <c r="Y21" s="208">
        <f t="shared" si="35"/>
        <v>0.31462214192262167</v>
      </c>
      <c r="Z21" s="208">
        <f t="shared" si="35"/>
        <v>1.2792511700468019</v>
      </c>
      <c r="AA21" s="208">
        <f t="shared" si="35"/>
        <v>0.50101557210561953</v>
      </c>
      <c r="AB21" s="216">
        <f t="shared" si="35"/>
        <v>1.0880316518298714</v>
      </c>
      <c r="AC21" s="208">
        <f t="shared" si="35"/>
        <v>0.66139996325555761</v>
      </c>
      <c r="AD21" s="208">
        <f t="shared" si="35"/>
        <v>1.3947453778786894</v>
      </c>
      <c r="AE21" s="208">
        <f t="shared" si="35"/>
        <v>0.88073092435591394</v>
      </c>
      <c r="AF21" s="208">
        <f t="shared" si="35"/>
        <v>0.84974893781382765</v>
      </c>
      <c r="AG21" s="208">
        <f t="shared" si="35"/>
        <v>1.0960841509767523</v>
      </c>
      <c r="AH21" s="208">
        <f t="shared" si="35"/>
        <v>1.0655147588192944</v>
      </c>
      <c r="AI21" s="208">
        <f t="shared" si="35"/>
        <v>0.82667401488013215</v>
      </c>
      <c r="AJ21" s="208">
        <f t="shared" si="35"/>
        <v>0.50317796610169496</v>
      </c>
      <c r="AK21" s="216">
        <f t="shared" si="35"/>
        <v>0.82954241370082948</v>
      </c>
      <c r="AL21" s="208">
        <f t="shared" si="35"/>
        <v>0.70562293274531418</v>
      </c>
      <c r="AM21" s="208">
        <f t="shared" si="35"/>
        <v>1.1718750000000002</v>
      </c>
      <c r="AN21" s="208">
        <f t="shared" si="35"/>
        <v>1.2401199236849276</v>
      </c>
      <c r="AO21" s="208">
        <f t="shared" si="35"/>
        <v>0.63588609344760849</v>
      </c>
      <c r="AP21" s="208">
        <f t="shared" si="35"/>
        <v>0.39022386527007602</v>
      </c>
      <c r="AQ21" s="208">
        <f t="shared" ref="AQ21:BV21" si="36">AQ118/AQ20%</f>
        <v>1.3988187752564498</v>
      </c>
      <c r="AR21" s="208">
        <f t="shared" si="36"/>
        <v>1.0622406639004149</v>
      </c>
      <c r="AS21" s="209">
        <f t="shared" si="36"/>
        <v>0.5988023952095809</v>
      </c>
      <c r="AT21" s="208">
        <f t="shared" si="36"/>
        <v>0.15335819594994946</v>
      </c>
      <c r="AU21" s="208">
        <f t="shared" si="36"/>
        <v>0.29779138059392835</v>
      </c>
      <c r="AV21" s="208">
        <f t="shared" si="36"/>
        <v>0.39030856469548569</v>
      </c>
      <c r="AW21" s="208">
        <f t="shared" si="36"/>
        <v>0.55585440200824821</v>
      </c>
      <c r="AX21" s="208">
        <f t="shared" si="36"/>
        <v>0.58832181203118095</v>
      </c>
      <c r="AY21" s="208">
        <f t="shared" si="36"/>
        <v>0.74368911700010465</v>
      </c>
      <c r="AZ21" s="208">
        <f t="shared" si="36"/>
        <v>0.30769230769230771</v>
      </c>
      <c r="BA21" s="208">
        <f t="shared" si="36"/>
        <v>0.9322131430544367</v>
      </c>
      <c r="BB21" s="208">
        <f t="shared" si="36"/>
        <v>1.9008825526137136</v>
      </c>
      <c r="BC21" s="208">
        <f t="shared" si="36"/>
        <v>1.5546918378678514</v>
      </c>
      <c r="BD21" s="208">
        <f t="shared" si="36"/>
        <v>1.481688565837294</v>
      </c>
      <c r="BE21" s="208">
        <f t="shared" si="36"/>
        <v>0.90174129353233834</v>
      </c>
      <c r="BF21" s="216">
        <f t="shared" si="36"/>
        <v>0.90475608265069074</v>
      </c>
      <c r="BG21" s="208">
        <f t="shared" si="36"/>
        <v>0.77332044465925565</v>
      </c>
      <c r="BH21" s="208">
        <f t="shared" si="36"/>
        <v>0.10593220338983052</v>
      </c>
      <c r="BI21" s="208">
        <f t="shared" si="36"/>
        <v>0.50869404365519799</v>
      </c>
      <c r="BJ21" s="208">
        <f t="shared" si="36"/>
        <v>0.68321946342276285</v>
      </c>
      <c r="BK21" s="208">
        <f t="shared" si="36"/>
        <v>0.26255907579205318</v>
      </c>
      <c r="BL21" s="208">
        <f t="shared" si="36"/>
        <v>0.12147195426938194</v>
      </c>
      <c r="BM21" s="208">
        <f t="shared" si="36"/>
        <v>1.2792511700468019</v>
      </c>
      <c r="BN21" s="208">
        <f t="shared" si="36"/>
        <v>0.55672099402936914</v>
      </c>
      <c r="BO21" s="208">
        <f t="shared" si="36"/>
        <v>0.35616438356164382</v>
      </c>
      <c r="BP21" s="208">
        <f t="shared" si="36"/>
        <v>1.0880316518298714</v>
      </c>
      <c r="BQ21" s="208">
        <f t="shared" si="36"/>
        <v>0.64257028112449799</v>
      </c>
      <c r="BR21" s="216">
        <f t="shared" si="36"/>
        <v>0.82934609250398728</v>
      </c>
      <c r="BS21" s="208">
        <f t="shared" si="36"/>
        <v>0.21759825921392631</v>
      </c>
      <c r="BT21" s="208">
        <f t="shared" si="36"/>
        <v>1.8974145120934109</v>
      </c>
      <c r="BU21" s="208">
        <f t="shared" si="36"/>
        <v>1.3947453778786894</v>
      </c>
      <c r="BV21" s="208">
        <f t="shared" si="36"/>
        <v>1.0960841509767523</v>
      </c>
      <c r="BW21" s="208">
        <f t="shared" ref="BW21:CL21" si="37">BW118/BW20%</f>
        <v>0.82667401488013215</v>
      </c>
      <c r="BX21" s="208">
        <f t="shared" si="37"/>
        <v>0.66139996325555761</v>
      </c>
      <c r="BY21" s="208">
        <f t="shared" si="37"/>
        <v>0.50317796610169496</v>
      </c>
      <c r="BZ21" s="208">
        <f t="shared" si="37"/>
        <v>1.0655147588192944</v>
      </c>
      <c r="CA21" s="208">
        <f t="shared" si="37"/>
        <v>0.84974893781382765</v>
      </c>
      <c r="CB21" s="216">
        <f t="shared" si="37"/>
        <v>0.82954241370082948</v>
      </c>
      <c r="CC21" s="208">
        <f t="shared" si="37"/>
        <v>0.63588609344760849</v>
      </c>
      <c r="CD21" s="208">
        <f t="shared" si="37"/>
        <v>0.39022386527007602</v>
      </c>
      <c r="CE21" s="208">
        <f t="shared" si="37"/>
        <v>0.70562293274531418</v>
      </c>
      <c r="CF21" s="208">
        <f t="shared" si="37"/>
        <v>0.17155601303825702</v>
      </c>
      <c r="CG21" s="208">
        <f t="shared" si="37"/>
        <v>1.1930326890956815</v>
      </c>
      <c r="CH21" s="208">
        <f t="shared" si="37"/>
        <v>1.1718750000000002</v>
      </c>
      <c r="CI21" s="208">
        <f t="shared" si="37"/>
        <v>1.0622406639004149</v>
      </c>
      <c r="CJ21" s="208">
        <f t="shared" si="37"/>
        <v>1.2401199236849276</v>
      </c>
      <c r="CK21" s="209">
        <f t="shared" si="37"/>
        <v>1.3988187752564498</v>
      </c>
      <c r="CL21" s="217">
        <f t="shared" si="37"/>
        <v>0.65666195200231015</v>
      </c>
    </row>
    <row r="22" spans="1:90">
      <c r="A22" s="93">
        <f>ROWS($A$3:A20)</f>
        <v>18</v>
      </c>
      <c r="B22" s="67" t="s">
        <v>70</v>
      </c>
      <c r="C22" s="241"/>
      <c r="D22" s="321"/>
      <c r="E22" s="320"/>
      <c r="F22" s="156"/>
      <c r="G22" s="177"/>
      <c r="H22" s="177"/>
      <c r="I22" s="178"/>
      <c r="J22" s="181"/>
      <c r="K22" s="156"/>
      <c r="L22" s="177"/>
      <c r="M22" s="177"/>
      <c r="N22" s="177"/>
      <c r="O22" s="177"/>
      <c r="P22" s="177"/>
      <c r="Q22" s="177">
        <f>'2010'!AU22</f>
        <v>0</v>
      </c>
      <c r="R22" s="177"/>
      <c r="S22" s="177"/>
      <c r="T22" s="177"/>
      <c r="U22" s="179"/>
      <c r="V22" s="177"/>
      <c r="W22" s="177"/>
      <c r="X22" s="177"/>
      <c r="Y22" s="177"/>
      <c r="Z22" s="177"/>
      <c r="AA22" s="177"/>
      <c r="AB22" s="179"/>
      <c r="AC22" s="177"/>
      <c r="AD22" s="177"/>
      <c r="AE22" s="177"/>
      <c r="AF22" s="177"/>
      <c r="AG22" s="177"/>
      <c r="AH22" s="177"/>
      <c r="AI22" s="177"/>
      <c r="AJ22" s="177"/>
      <c r="AK22" s="179"/>
      <c r="AL22" s="177"/>
      <c r="AM22" s="177"/>
      <c r="AN22" s="177"/>
      <c r="AO22" s="177"/>
      <c r="AP22" s="177"/>
      <c r="AQ22" s="177"/>
      <c r="AR22" s="177"/>
      <c r="AS22" s="178"/>
      <c r="AT22" s="177"/>
      <c r="AU22" s="177"/>
      <c r="AV22" s="177"/>
      <c r="AW22" s="177"/>
      <c r="AX22" s="177"/>
      <c r="AY22" s="177"/>
      <c r="AZ22" s="177"/>
      <c r="BA22" s="177"/>
      <c r="BB22" s="177"/>
      <c r="BC22" s="177"/>
      <c r="BD22" s="177"/>
      <c r="BE22" s="177"/>
      <c r="BF22" s="179"/>
      <c r="BG22" s="177"/>
      <c r="BH22" s="177"/>
      <c r="BI22" s="177"/>
      <c r="BJ22" s="177"/>
      <c r="BK22" s="177"/>
      <c r="BL22" s="177"/>
      <c r="BM22" s="177"/>
      <c r="BN22" s="177"/>
      <c r="BO22" s="177"/>
      <c r="BP22" s="177"/>
      <c r="BQ22" s="177"/>
      <c r="BR22" s="179"/>
      <c r="BS22" s="177"/>
      <c r="BT22" s="177"/>
      <c r="BU22" s="177"/>
      <c r="BV22" s="177"/>
      <c r="BW22" s="177"/>
      <c r="BX22" s="177"/>
      <c r="BY22" s="177"/>
      <c r="BZ22" s="177"/>
      <c r="CA22" s="177"/>
      <c r="CB22" s="179"/>
      <c r="CC22" s="177"/>
      <c r="CD22" s="177"/>
      <c r="CE22" s="177"/>
      <c r="CF22" s="177"/>
      <c r="CG22" s="177"/>
      <c r="CH22" s="177"/>
      <c r="CI22" s="177"/>
      <c r="CJ22" s="177"/>
      <c r="CK22" s="178"/>
      <c r="CL22" s="180"/>
    </row>
    <row r="23" spans="1:90">
      <c r="A23" s="93">
        <f>ROWS($A$3:A21)</f>
        <v>19</v>
      </c>
      <c r="B23" s="59" t="s">
        <v>272</v>
      </c>
      <c r="C23" s="244">
        <v>2010</v>
      </c>
      <c r="D23" s="321" t="s">
        <v>14</v>
      </c>
      <c r="E23" s="322">
        <v>40679</v>
      </c>
      <c r="F23" s="156">
        <v>14397</v>
      </c>
      <c r="G23" s="177">
        <v>4930</v>
      </c>
      <c r="H23" s="177">
        <v>13611</v>
      </c>
      <c r="I23" s="178">
        <v>11574</v>
      </c>
      <c r="J23" s="181"/>
      <c r="K23" s="156">
        <f>BF23</f>
        <v>1827</v>
      </c>
      <c r="L23" s="177">
        <f>AY23</f>
        <v>1288</v>
      </c>
      <c r="M23" s="177">
        <f>BD23</f>
        <v>1552</v>
      </c>
      <c r="N23" s="177">
        <f>AW23</f>
        <v>782</v>
      </c>
      <c r="O23" s="177">
        <f>BE23</f>
        <v>581</v>
      </c>
      <c r="P23" s="177">
        <f>AZ23+BA23</f>
        <v>2309</v>
      </c>
      <c r="Q23" s="177">
        <f>'2010'!AU23</f>
        <v>604</v>
      </c>
      <c r="R23" s="177">
        <f>AT23+AX23</f>
        <v>1535</v>
      </c>
      <c r="S23" s="177">
        <f>AV23</f>
        <v>659</v>
      </c>
      <c r="T23" s="177">
        <f>BB23</f>
        <v>1229</v>
      </c>
      <c r="U23" s="179">
        <f>BC23</f>
        <v>2031</v>
      </c>
      <c r="V23" s="177">
        <f>BG23+BJ23</f>
        <v>661</v>
      </c>
      <c r="W23" s="177">
        <f>BR23</f>
        <v>517</v>
      </c>
      <c r="X23" s="177">
        <f>BH23+BI23</f>
        <v>828</v>
      </c>
      <c r="Y23" s="177">
        <f>BK23+BL23+BN23</f>
        <v>1125</v>
      </c>
      <c r="Z23" s="177">
        <f>BM23</f>
        <v>878</v>
      </c>
      <c r="AA23" s="177">
        <f>BO23+BQ23</f>
        <v>457</v>
      </c>
      <c r="AB23" s="179">
        <f>BP23</f>
        <v>464</v>
      </c>
      <c r="AC23" s="177">
        <f>BX23</f>
        <v>1037</v>
      </c>
      <c r="AD23" s="177">
        <f>BU23</f>
        <v>1422</v>
      </c>
      <c r="AE23" s="177">
        <f>BS23+BT23</f>
        <v>3099</v>
      </c>
      <c r="AF23" s="177">
        <f>CA23</f>
        <v>1074</v>
      </c>
      <c r="AG23" s="177">
        <f>BV23</f>
        <v>3572</v>
      </c>
      <c r="AH23" s="177">
        <f>BZ23</f>
        <v>900</v>
      </c>
      <c r="AI23" s="177">
        <f>BW23</f>
        <v>800</v>
      </c>
      <c r="AJ23" s="177">
        <f>BY23</f>
        <v>465</v>
      </c>
      <c r="AK23" s="179">
        <f>CB23</f>
        <v>1242</v>
      </c>
      <c r="AL23" s="177">
        <f>CE23</f>
        <v>755</v>
      </c>
      <c r="AM23" s="177">
        <f>CH23</f>
        <v>1848</v>
      </c>
      <c r="AN23" s="177">
        <f>CJ23</f>
        <v>2560</v>
      </c>
      <c r="AO23" s="177">
        <f>CC23</f>
        <v>1058</v>
      </c>
      <c r="AP23" s="177">
        <f>CD23</f>
        <v>419</v>
      </c>
      <c r="AQ23" s="177">
        <f>CK23</f>
        <v>1248</v>
      </c>
      <c r="AR23" s="177">
        <f>CI23</f>
        <v>1677</v>
      </c>
      <c r="AS23" s="178">
        <f>CF23+CG23</f>
        <v>2009</v>
      </c>
      <c r="AT23" s="181">
        <v>198</v>
      </c>
      <c r="AU23" s="177">
        <v>604</v>
      </c>
      <c r="AV23" s="177">
        <v>659</v>
      </c>
      <c r="AW23" s="177">
        <v>782</v>
      </c>
      <c r="AX23" s="177">
        <v>1337</v>
      </c>
      <c r="AY23" s="177">
        <v>1288</v>
      </c>
      <c r="AZ23" s="177">
        <v>183</v>
      </c>
      <c r="BA23" s="177">
        <v>2126</v>
      </c>
      <c r="BB23" s="177">
        <v>1229</v>
      </c>
      <c r="BC23" s="177">
        <v>2031</v>
      </c>
      <c r="BD23" s="177">
        <v>1552</v>
      </c>
      <c r="BE23" s="177">
        <v>581</v>
      </c>
      <c r="BF23" s="179">
        <v>1827</v>
      </c>
      <c r="BG23" s="177">
        <v>114</v>
      </c>
      <c r="BH23" s="177">
        <v>65</v>
      </c>
      <c r="BI23" s="177">
        <v>763</v>
      </c>
      <c r="BJ23" s="177">
        <v>547</v>
      </c>
      <c r="BK23" s="177">
        <v>89</v>
      </c>
      <c r="BL23" s="177">
        <v>69</v>
      </c>
      <c r="BM23" s="177">
        <v>878</v>
      </c>
      <c r="BN23" s="177">
        <v>967</v>
      </c>
      <c r="BO23" s="177">
        <v>24</v>
      </c>
      <c r="BP23" s="177">
        <v>464</v>
      </c>
      <c r="BQ23" s="177">
        <v>433</v>
      </c>
      <c r="BR23" s="179">
        <v>517</v>
      </c>
      <c r="BS23" s="177">
        <v>214</v>
      </c>
      <c r="BT23" s="177">
        <v>2885</v>
      </c>
      <c r="BU23" s="177">
        <v>1422</v>
      </c>
      <c r="BV23" s="177">
        <v>3572</v>
      </c>
      <c r="BW23" s="177">
        <v>800</v>
      </c>
      <c r="BX23" s="177">
        <v>1037</v>
      </c>
      <c r="BY23" s="177">
        <v>465</v>
      </c>
      <c r="BZ23" s="177">
        <v>900</v>
      </c>
      <c r="CA23" s="177">
        <v>1074</v>
      </c>
      <c r="CB23" s="179">
        <v>1242</v>
      </c>
      <c r="CC23" s="177">
        <v>1058</v>
      </c>
      <c r="CD23" s="177">
        <v>419</v>
      </c>
      <c r="CE23" s="177">
        <v>755</v>
      </c>
      <c r="CF23" s="177">
        <v>118</v>
      </c>
      <c r="CG23" s="177">
        <v>1891</v>
      </c>
      <c r="CH23" s="177">
        <v>1848</v>
      </c>
      <c r="CI23" s="177">
        <v>1677</v>
      </c>
      <c r="CJ23" s="177">
        <v>2560</v>
      </c>
      <c r="CK23" s="178">
        <v>1248</v>
      </c>
      <c r="CL23" s="180">
        <v>44512</v>
      </c>
    </row>
    <row r="24" spans="1:90">
      <c r="A24" s="93">
        <f>ROWS($A$3:A22)</f>
        <v>20</v>
      </c>
      <c r="B24" s="59" t="s">
        <v>268</v>
      </c>
      <c r="C24" s="241"/>
      <c r="D24" s="321" t="s">
        <v>14</v>
      </c>
      <c r="E24" s="322">
        <v>40679</v>
      </c>
      <c r="F24" s="156">
        <v>2777</v>
      </c>
      <c r="G24" s="177">
        <v>850</v>
      </c>
      <c r="H24" s="177">
        <v>3557</v>
      </c>
      <c r="I24" s="178">
        <v>913</v>
      </c>
      <c r="J24" s="181"/>
      <c r="K24" s="156">
        <f t="shared" ref="K24:K33" si="38">BF24</f>
        <v>84</v>
      </c>
      <c r="L24" s="177">
        <f t="shared" ref="L24:L33" si="39">AY24</f>
        <v>428</v>
      </c>
      <c r="M24" s="177">
        <f t="shared" ref="M24:M33" si="40">BD24</f>
        <v>173</v>
      </c>
      <c r="N24" s="177">
        <f t="shared" ref="N24:N33" si="41">AW24</f>
        <v>84</v>
      </c>
      <c r="O24" s="177">
        <f t="shared" ref="O24:O33" si="42">BE24</f>
        <v>22</v>
      </c>
      <c r="P24" s="177">
        <f t="shared" ref="P24:P29" si="43">AZ24+BA24</f>
        <v>881</v>
      </c>
      <c r="Q24" s="177">
        <f>'2010'!AU24</f>
        <v>52</v>
      </c>
      <c r="R24" s="177">
        <f t="shared" ref="R24:R29" si="44">AT24+AX24</f>
        <v>598</v>
      </c>
      <c r="S24" s="177">
        <f t="shared" ref="S24:S33" si="45">AV24</f>
        <v>131</v>
      </c>
      <c r="T24" s="177">
        <f t="shared" ref="T24:T33" si="46">BB24</f>
        <v>261</v>
      </c>
      <c r="U24" s="179">
        <f t="shared" ref="U24:U33" si="47">BC24</f>
        <v>63</v>
      </c>
      <c r="V24" s="177">
        <f t="shared" ref="V24:V29" si="48">BG24+BJ24</f>
        <v>304</v>
      </c>
      <c r="W24" s="177">
        <f t="shared" ref="W24:W33" si="49">BR24</f>
        <v>24</v>
      </c>
      <c r="X24" s="177">
        <f t="shared" ref="X24:X29" si="50">BH24+BI24</f>
        <v>160</v>
      </c>
      <c r="Y24" s="177">
        <f t="shared" ref="Y24:Y29" si="51">BK24+BL24+BN24</f>
        <v>225</v>
      </c>
      <c r="Z24" s="177">
        <f t="shared" ref="Z24:Z33" si="52">BM24</f>
        <v>34</v>
      </c>
      <c r="AA24" s="177">
        <f t="shared" ref="AA24:AA29" si="53">BO24+BQ24</f>
        <v>78</v>
      </c>
      <c r="AB24" s="179">
        <f t="shared" ref="AB24:AB33" si="54">BP24</f>
        <v>25</v>
      </c>
      <c r="AC24" s="177">
        <f t="shared" ref="AC24:AC33" si="55">BX24</f>
        <v>16</v>
      </c>
      <c r="AD24" s="177">
        <f t="shared" ref="AD24:AD33" si="56">BU24</f>
        <v>514</v>
      </c>
      <c r="AE24" s="177">
        <f t="shared" ref="AE24:AE29" si="57">BS24+BT24</f>
        <v>1264</v>
      </c>
      <c r="AF24" s="177">
        <f t="shared" ref="AF24:AF33" si="58">CA24</f>
        <v>215</v>
      </c>
      <c r="AG24" s="177">
        <f t="shared" ref="AG24:AG33" si="59">BV24</f>
        <v>1291</v>
      </c>
      <c r="AH24" s="177">
        <f t="shared" ref="AH24:AH33" si="60">BZ24</f>
        <v>174</v>
      </c>
      <c r="AI24" s="177">
        <f t="shared" ref="AI24:AI33" si="61">BW24</f>
        <v>21</v>
      </c>
      <c r="AJ24" s="177">
        <f t="shared" ref="AJ24:AJ33" si="62">BY24</f>
        <v>11</v>
      </c>
      <c r="AK24" s="179">
        <f t="shared" ref="AK24:AK33" si="63">CB24</f>
        <v>51</v>
      </c>
      <c r="AL24" s="177">
        <f t="shared" ref="AL24:AL33" si="64">CE24</f>
        <v>23</v>
      </c>
      <c r="AM24" s="177">
        <f t="shared" ref="AM24:AM33" si="65">CH24</f>
        <v>56</v>
      </c>
      <c r="AN24" s="177">
        <f t="shared" ref="AN24:AN33" si="66">CJ24</f>
        <v>152</v>
      </c>
      <c r="AO24" s="177">
        <f t="shared" ref="AO24:AO33" si="67">CC24</f>
        <v>53</v>
      </c>
      <c r="AP24" s="177">
        <f t="shared" ref="AP24:AP33" si="68">CD24</f>
        <v>41</v>
      </c>
      <c r="AQ24" s="177">
        <f t="shared" ref="AQ24:AQ33" si="69">CK24</f>
        <v>40</v>
      </c>
      <c r="AR24" s="177">
        <f t="shared" ref="AR24:AR33" si="70">CI24</f>
        <v>467</v>
      </c>
      <c r="AS24" s="178">
        <f t="shared" ref="AS24:AS29" si="71">CF24+CG24</f>
        <v>81</v>
      </c>
      <c r="AT24" s="181">
        <v>104</v>
      </c>
      <c r="AU24" s="177">
        <v>52</v>
      </c>
      <c r="AV24" s="177">
        <v>131</v>
      </c>
      <c r="AW24" s="177">
        <v>84</v>
      </c>
      <c r="AX24" s="177">
        <v>494</v>
      </c>
      <c r="AY24" s="177">
        <v>428</v>
      </c>
      <c r="AZ24" s="177">
        <v>50</v>
      </c>
      <c r="BA24" s="177">
        <v>831</v>
      </c>
      <c r="BB24" s="177">
        <v>261</v>
      </c>
      <c r="BC24" s="177">
        <v>63</v>
      </c>
      <c r="BD24" s="177">
        <v>173</v>
      </c>
      <c r="BE24" s="177">
        <v>22</v>
      </c>
      <c r="BF24" s="179">
        <v>84</v>
      </c>
      <c r="BG24" s="177">
        <v>75</v>
      </c>
      <c r="BH24" s="177">
        <v>15</v>
      </c>
      <c r="BI24" s="177">
        <v>145</v>
      </c>
      <c r="BJ24" s="177">
        <v>229</v>
      </c>
      <c r="BK24" s="177">
        <v>28</v>
      </c>
      <c r="BL24" s="177">
        <v>12</v>
      </c>
      <c r="BM24" s="177">
        <v>34</v>
      </c>
      <c r="BN24" s="177">
        <v>185</v>
      </c>
      <c r="BO24" s="177">
        <v>7</v>
      </c>
      <c r="BP24" s="177">
        <v>25</v>
      </c>
      <c r="BQ24" s="177">
        <v>71</v>
      </c>
      <c r="BR24" s="179">
        <v>24</v>
      </c>
      <c r="BS24" s="177">
        <v>111</v>
      </c>
      <c r="BT24" s="177">
        <v>1153</v>
      </c>
      <c r="BU24" s="177">
        <v>514</v>
      </c>
      <c r="BV24" s="177">
        <v>1291</v>
      </c>
      <c r="BW24" s="177">
        <v>21</v>
      </c>
      <c r="BX24" s="177">
        <v>16</v>
      </c>
      <c r="BY24" s="177">
        <v>11</v>
      </c>
      <c r="BZ24" s="177">
        <v>174</v>
      </c>
      <c r="CA24" s="177">
        <v>215</v>
      </c>
      <c r="CB24" s="179">
        <v>51</v>
      </c>
      <c r="CC24" s="177">
        <v>53</v>
      </c>
      <c r="CD24" s="177">
        <v>41</v>
      </c>
      <c r="CE24" s="177">
        <v>23</v>
      </c>
      <c r="CF24" s="177">
        <v>16</v>
      </c>
      <c r="CG24" s="177">
        <v>65</v>
      </c>
      <c r="CH24" s="177">
        <v>56</v>
      </c>
      <c r="CI24" s="177">
        <v>467</v>
      </c>
      <c r="CJ24" s="177">
        <v>152</v>
      </c>
      <c r="CK24" s="178">
        <v>40</v>
      </c>
      <c r="CL24" s="180">
        <v>8097</v>
      </c>
    </row>
    <row r="25" spans="1:90">
      <c r="A25" s="93">
        <f>ROWS($A$3:A23)</f>
        <v>21</v>
      </c>
      <c r="B25" s="59" t="s">
        <v>269</v>
      </c>
      <c r="C25" s="241"/>
      <c r="D25" s="321" t="s">
        <v>14</v>
      </c>
      <c r="E25" s="322">
        <v>40679</v>
      </c>
      <c r="F25" s="156">
        <v>2154</v>
      </c>
      <c r="G25" s="177">
        <v>818</v>
      </c>
      <c r="H25" s="177">
        <v>2929</v>
      </c>
      <c r="I25" s="178">
        <v>1792</v>
      </c>
      <c r="J25" s="181"/>
      <c r="K25" s="156">
        <f t="shared" si="38"/>
        <v>347</v>
      </c>
      <c r="L25" s="177">
        <f t="shared" si="39"/>
        <v>246</v>
      </c>
      <c r="M25" s="177">
        <f t="shared" si="40"/>
        <v>183</v>
      </c>
      <c r="N25" s="177">
        <f t="shared" si="41"/>
        <v>115</v>
      </c>
      <c r="O25" s="177">
        <f t="shared" si="42"/>
        <v>78</v>
      </c>
      <c r="P25" s="177">
        <f t="shared" si="43"/>
        <v>334</v>
      </c>
      <c r="Q25" s="177">
        <f>'2010'!AU25</f>
        <v>101</v>
      </c>
      <c r="R25" s="177">
        <f t="shared" si="44"/>
        <v>157</v>
      </c>
      <c r="S25" s="177">
        <f t="shared" si="45"/>
        <v>117</v>
      </c>
      <c r="T25" s="177">
        <f t="shared" si="46"/>
        <v>176</v>
      </c>
      <c r="U25" s="179">
        <f t="shared" si="47"/>
        <v>300</v>
      </c>
      <c r="V25" s="177">
        <f t="shared" si="48"/>
        <v>105</v>
      </c>
      <c r="W25" s="177">
        <f t="shared" si="49"/>
        <v>135</v>
      </c>
      <c r="X25" s="177">
        <f t="shared" si="50"/>
        <v>121</v>
      </c>
      <c r="Y25" s="177">
        <f t="shared" si="51"/>
        <v>133</v>
      </c>
      <c r="Z25" s="177">
        <f t="shared" si="52"/>
        <v>128</v>
      </c>
      <c r="AA25" s="177">
        <f t="shared" si="53"/>
        <v>64</v>
      </c>
      <c r="AB25" s="179">
        <f t="shared" si="54"/>
        <v>132</v>
      </c>
      <c r="AC25" s="177">
        <f t="shared" si="55"/>
        <v>215</v>
      </c>
      <c r="AD25" s="177">
        <f t="shared" si="56"/>
        <v>289</v>
      </c>
      <c r="AE25" s="177">
        <f t="shared" si="57"/>
        <v>516</v>
      </c>
      <c r="AF25" s="177">
        <f t="shared" si="58"/>
        <v>229</v>
      </c>
      <c r="AG25" s="177">
        <f t="shared" si="59"/>
        <v>928</v>
      </c>
      <c r="AH25" s="177">
        <f t="shared" si="60"/>
        <v>120</v>
      </c>
      <c r="AI25" s="177">
        <f t="shared" si="61"/>
        <v>198</v>
      </c>
      <c r="AJ25" s="177">
        <f t="shared" si="62"/>
        <v>86</v>
      </c>
      <c r="AK25" s="179">
        <f t="shared" si="63"/>
        <v>348</v>
      </c>
      <c r="AL25" s="177">
        <f t="shared" si="64"/>
        <v>173</v>
      </c>
      <c r="AM25" s="177">
        <f t="shared" si="65"/>
        <v>239</v>
      </c>
      <c r="AN25" s="177">
        <f t="shared" si="66"/>
        <v>311</v>
      </c>
      <c r="AO25" s="177">
        <f t="shared" si="67"/>
        <v>211</v>
      </c>
      <c r="AP25" s="177">
        <f t="shared" si="68"/>
        <v>71</v>
      </c>
      <c r="AQ25" s="177">
        <f t="shared" si="69"/>
        <v>218</v>
      </c>
      <c r="AR25" s="177">
        <f t="shared" si="70"/>
        <v>318</v>
      </c>
      <c r="AS25" s="178">
        <f t="shared" si="71"/>
        <v>251</v>
      </c>
      <c r="AT25" s="181">
        <v>31</v>
      </c>
      <c r="AU25" s="177">
        <v>101</v>
      </c>
      <c r="AV25" s="177">
        <v>117</v>
      </c>
      <c r="AW25" s="177">
        <v>115</v>
      </c>
      <c r="AX25" s="177">
        <v>126</v>
      </c>
      <c r="AY25" s="177">
        <v>246</v>
      </c>
      <c r="AZ25" s="177">
        <v>42</v>
      </c>
      <c r="BA25" s="177">
        <v>292</v>
      </c>
      <c r="BB25" s="177">
        <v>176</v>
      </c>
      <c r="BC25" s="177">
        <v>300</v>
      </c>
      <c r="BD25" s="177">
        <v>183</v>
      </c>
      <c r="BE25" s="177">
        <v>78</v>
      </c>
      <c r="BF25" s="179">
        <v>347</v>
      </c>
      <c r="BG25" s="177">
        <v>17</v>
      </c>
      <c r="BH25" s="177">
        <v>9</v>
      </c>
      <c r="BI25" s="177">
        <v>112</v>
      </c>
      <c r="BJ25" s="177">
        <v>88</v>
      </c>
      <c r="BK25" s="177">
        <v>14</v>
      </c>
      <c r="BL25" s="177">
        <v>6</v>
      </c>
      <c r="BM25" s="177">
        <v>128</v>
      </c>
      <c r="BN25" s="177">
        <v>113</v>
      </c>
      <c r="BO25" s="177">
        <v>2</v>
      </c>
      <c r="BP25" s="177">
        <v>132</v>
      </c>
      <c r="BQ25" s="177">
        <v>62</v>
      </c>
      <c r="BR25" s="179">
        <v>135</v>
      </c>
      <c r="BS25" s="177">
        <v>33</v>
      </c>
      <c r="BT25" s="177">
        <v>483</v>
      </c>
      <c r="BU25" s="177">
        <v>289</v>
      </c>
      <c r="BV25" s="177">
        <v>928</v>
      </c>
      <c r="BW25" s="177">
        <v>198</v>
      </c>
      <c r="BX25" s="177">
        <v>215</v>
      </c>
      <c r="BY25" s="177">
        <v>86</v>
      </c>
      <c r="BZ25" s="177">
        <v>120</v>
      </c>
      <c r="CA25" s="177">
        <v>229</v>
      </c>
      <c r="CB25" s="179">
        <v>348</v>
      </c>
      <c r="CC25" s="177">
        <v>211</v>
      </c>
      <c r="CD25" s="177">
        <v>71</v>
      </c>
      <c r="CE25" s="177">
        <v>173</v>
      </c>
      <c r="CF25" s="177">
        <v>8</v>
      </c>
      <c r="CG25" s="177">
        <v>243</v>
      </c>
      <c r="CH25" s="177">
        <v>239</v>
      </c>
      <c r="CI25" s="177">
        <v>318</v>
      </c>
      <c r="CJ25" s="177">
        <v>311</v>
      </c>
      <c r="CK25" s="178">
        <v>218</v>
      </c>
      <c r="CL25" s="180">
        <v>7693</v>
      </c>
    </row>
    <row r="26" spans="1:90">
      <c r="A26" s="93">
        <f>ROWS($A$3:A24)</f>
        <v>22</v>
      </c>
      <c r="B26" s="59" t="s">
        <v>270</v>
      </c>
      <c r="C26" s="241"/>
      <c r="D26" s="321" t="s">
        <v>14</v>
      </c>
      <c r="E26" s="322">
        <v>40679</v>
      </c>
      <c r="F26" s="156">
        <v>2758</v>
      </c>
      <c r="G26" s="177">
        <v>898</v>
      </c>
      <c r="H26" s="177">
        <v>2870</v>
      </c>
      <c r="I26" s="178">
        <v>2733</v>
      </c>
      <c r="J26" s="181"/>
      <c r="K26" s="156">
        <f t="shared" si="38"/>
        <v>495</v>
      </c>
      <c r="L26" s="177">
        <f t="shared" si="39"/>
        <v>245</v>
      </c>
      <c r="M26" s="177">
        <f t="shared" si="40"/>
        <v>303</v>
      </c>
      <c r="N26" s="177">
        <f t="shared" si="41"/>
        <v>160</v>
      </c>
      <c r="O26" s="177">
        <f t="shared" si="42"/>
        <v>123</v>
      </c>
      <c r="P26" s="177">
        <f t="shared" si="43"/>
        <v>309</v>
      </c>
      <c r="Q26" s="177">
        <f>'2010'!AU26</f>
        <v>140</v>
      </c>
      <c r="R26" s="177">
        <f t="shared" si="44"/>
        <v>197</v>
      </c>
      <c r="S26" s="177">
        <f t="shared" si="45"/>
        <v>123</v>
      </c>
      <c r="T26" s="177">
        <f t="shared" si="46"/>
        <v>213</v>
      </c>
      <c r="U26" s="179">
        <f t="shared" si="47"/>
        <v>450</v>
      </c>
      <c r="V26" s="177">
        <f t="shared" si="48"/>
        <v>104</v>
      </c>
      <c r="W26" s="177">
        <f t="shared" si="49"/>
        <v>114</v>
      </c>
      <c r="X26" s="177">
        <f t="shared" si="50"/>
        <v>122</v>
      </c>
      <c r="Y26" s="177">
        <f t="shared" si="51"/>
        <v>175</v>
      </c>
      <c r="Z26" s="177">
        <f t="shared" si="52"/>
        <v>191</v>
      </c>
      <c r="AA26" s="177">
        <f t="shared" si="53"/>
        <v>85</v>
      </c>
      <c r="AB26" s="179">
        <f t="shared" si="54"/>
        <v>107</v>
      </c>
      <c r="AC26" s="177">
        <f t="shared" si="55"/>
        <v>228</v>
      </c>
      <c r="AD26" s="177">
        <f t="shared" si="56"/>
        <v>318</v>
      </c>
      <c r="AE26" s="177">
        <f t="shared" si="57"/>
        <v>534</v>
      </c>
      <c r="AF26" s="177">
        <f t="shared" si="58"/>
        <v>259</v>
      </c>
      <c r="AG26" s="177">
        <f t="shared" si="59"/>
        <v>707</v>
      </c>
      <c r="AH26" s="177">
        <f t="shared" si="60"/>
        <v>177</v>
      </c>
      <c r="AI26" s="177">
        <f t="shared" si="61"/>
        <v>207</v>
      </c>
      <c r="AJ26" s="177">
        <f t="shared" si="62"/>
        <v>113</v>
      </c>
      <c r="AK26" s="179">
        <f t="shared" si="63"/>
        <v>327</v>
      </c>
      <c r="AL26" s="177">
        <f t="shared" si="64"/>
        <v>183</v>
      </c>
      <c r="AM26" s="177">
        <f t="shared" si="65"/>
        <v>386</v>
      </c>
      <c r="AN26" s="177">
        <f t="shared" si="66"/>
        <v>617</v>
      </c>
      <c r="AO26" s="177">
        <f t="shared" si="67"/>
        <v>272</v>
      </c>
      <c r="AP26" s="177">
        <f t="shared" si="68"/>
        <v>91</v>
      </c>
      <c r="AQ26" s="177">
        <f t="shared" si="69"/>
        <v>306</v>
      </c>
      <c r="AR26" s="177">
        <f t="shared" si="70"/>
        <v>387</v>
      </c>
      <c r="AS26" s="178">
        <f t="shared" si="71"/>
        <v>491</v>
      </c>
      <c r="AT26" s="181">
        <v>29</v>
      </c>
      <c r="AU26" s="177">
        <v>140</v>
      </c>
      <c r="AV26" s="177">
        <v>123</v>
      </c>
      <c r="AW26" s="177">
        <v>160</v>
      </c>
      <c r="AX26" s="177">
        <v>168</v>
      </c>
      <c r="AY26" s="177">
        <v>245</v>
      </c>
      <c r="AZ26" s="177">
        <v>26</v>
      </c>
      <c r="BA26" s="177">
        <v>283</v>
      </c>
      <c r="BB26" s="177">
        <v>213</v>
      </c>
      <c r="BC26" s="177">
        <v>450</v>
      </c>
      <c r="BD26" s="177">
        <v>303</v>
      </c>
      <c r="BE26" s="177">
        <v>123</v>
      </c>
      <c r="BF26" s="179">
        <v>495</v>
      </c>
      <c r="BG26" s="177">
        <v>10</v>
      </c>
      <c r="BH26" s="177">
        <v>11</v>
      </c>
      <c r="BI26" s="177">
        <v>111</v>
      </c>
      <c r="BJ26" s="177">
        <v>94</v>
      </c>
      <c r="BK26" s="177">
        <v>14</v>
      </c>
      <c r="BL26" s="177">
        <v>7</v>
      </c>
      <c r="BM26" s="177">
        <v>191</v>
      </c>
      <c r="BN26" s="177">
        <v>154</v>
      </c>
      <c r="BO26" s="177">
        <v>3</v>
      </c>
      <c r="BP26" s="177">
        <v>107</v>
      </c>
      <c r="BQ26" s="177">
        <v>82</v>
      </c>
      <c r="BR26" s="179">
        <v>114</v>
      </c>
      <c r="BS26" s="177">
        <v>25</v>
      </c>
      <c r="BT26" s="177">
        <v>509</v>
      </c>
      <c r="BU26" s="177">
        <v>318</v>
      </c>
      <c r="BV26" s="177">
        <v>707</v>
      </c>
      <c r="BW26" s="177">
        <v>207</v>
      </c>
      <c r="BX26" s="177">
        <v>228</v>
      </c>
      <c r="BY26" s="177">
        <v>113</v>
      </c>
      <c r="BZ26" s="177">
        <v>177</v>
      </c>
      <c r="CA26" s="177">
        <v>259</v>
      </c>
      <c r="CB26" s="179">
        <v>327</v>
      </c>
      <c r="CC26" s="177">
        <v>272</v>
      </c>
      <c r="CD26" s="177">
        <v>91</v>
      </c>
      <c r="CE26" s="177">
        <v>183</v>
      </c>
      <c r="CF26" s="177">
        <v>23</v>
      </c>
      <c r="CG26" s="177">
        <v>468</v>
      </c>
      <c r="CH26" s="177">
        <v>386</v>
      </c>
      <c r="CI26" s="177">
        <v>387</v>
      </c>
      <c r="CJ26" s="177">
        <v>617</v>
      </c>
      <c r="CK26" s="178">
        <v>306</v>
      </c>
      <c r="CL26" s="180">
        <v>9259</v>
      </c>
    </row>
    <row r="27" spans="1:90">
      <c r="A27" s="93">
        <f>ROWS($A$3:A25)</f>
        <v>23</v>
      </c>
      <c r="B27" s="59" t="s">
        <v>271</v>
      </c>
      <c r="C27" s="241"/>
      <c r="D27" s="321" t="s">
        <v>14</v>
      </c>
      <c r="E27" s="322">
        <v>40679</v>
      </c>
      <c r="F27" s="156">
        <v>3588</v>
      </c>
      <c r="G27" s="177">
        <v>1000</v>
      </c>
      <c r="H27" s="177">
        <v>2416</v>
      </c>
      <c r="I27" s="178">
        <v>3349</v>
      </c>
      <c r="J27" s="181"/>
      <c r="K27" s="156">
        <f t="shared" si="38"/>
        <v>462</v>
      </c>
      <c r="L27" s="177">
        <f t="shared" si="39"/>
        <v>235</v>
      </c>
      <c r="M27" s="177">
        <f t="shared" si="40"/>
        <v>465</v>
      </c>
      <c r="N27" s="177">
        <f t="shared" si="41"/>
        <v>216</v>
      </c>
      <c r="O27" s="177">
        <f t="shared" si="42"/>
        <v>159</v>
      </c>
      <c r="P27" s="177">
        <f t="shared" si="43"/>
        <v>418</v>
      </c>
      <c r="Q27" s="177">
        <f>'2010'!AU27</f>
        <v>153</v>
      </c>
      <c r="R27" s="177">
        <f t="shared" si="44"/>
        <v>371</v>
      </c>
      <c r="S27" s="177">
        <f t="shared" si="45"/>
        <v>155</v>
      </c>
      <c r="T27" s="177">
        <f t="shared" si="46"/>
        <v>298</v>
      </c>
      <c r="U27" s="179">
        <f t="shared" si="47"/>
        <v>656</v>
      </c>
      <c r="V27" s="177">
        <f t="shared" si="48"/>
        <v>58</v>
      </c>
      <c r="W27" s="177">
        <f t="shared" si="49"/>
        <v>129</v>
      </c>
      <c r="X27" s="177">
        <f t="shared" si="50"/>
        <v>147</v>
      </c>
      <c r="Y27" s="177">
        <f t="shared" si="51"/>
        <v>286</v>
      </c>
      <c r="Z27" s="177">
        <f t="shared" si="52"/>
        <v>210</v>
      </c>
      <c r="AA27" s="177">
        <f t="shared" si="53"/>
        <v>84</v>
      </c>
      <c r="AB27" s="179">
        <f t="shared" si="54"/>
        <v>86</v>
      </c>
      <c r="AC27" s="177">
        <f t="shared" si="55"/>
        <v>326</v>
      </c>
      <c r="AD27" s="177">
        <f t="shared" si="56"/>
        <v>210</v>
      </c>
      <c r="AE27" s="177">
        <f t="shared" si="57"/>
        <v>543</v>
      </c>
      <c r="AF27" s="177">
        <f t="shared" si="58"/>
        <v>255</v>
      </c>
      <c r="AG27" s="177">
        <f t="shared" si="59"/>
        <v>382</v>
      </c>
      <c r="AH27" s="177">
        <f t="shared" si="60"/>
        <v>190</v>
      </c>
      <c r="AI27" s="177">
        <f t="shared" si="61"/>
        <v>156</v>
      </c>
      <c r="AJ27" s="177">
        <f t="shared" si="62"/>
        <v>88</v>
      </c>
      <c r="AK27" s="179">
        <f t="shared" si="63"/>
        <v>266</v>
      </c>
      <c r="AL27" s="177">
        <f t="shared" si="64"/>
        <v>171</v>
      </c>
      <c r="AM27" s="177">
        <f t="shared" si="65"/>
        <v>605</v>
      </c>
      <c r="AN27" s="177">
        <f t="shared" si="66"/>
        <v>934</v>
      </c>
      <c r="AO27" s="177">
        <f t="shared" si="67"/>
        <v>256</v>
      </c>
      <c r="AP27" s="177">
        <f t="shared" si="68"/>
        <v>104</v>
      </c>
      <c r="AQ27" s="177">
        <f t="shared" si="69"/>
        <v>322</v>
      </c>
      <c r="AR27" s="177">
        <f t="shared" si="70"/>
        <v>351</v>
      </c>
      <c r="AS27" s="178">
        <f t="shared" si="71"/>
        <v>606</v>
      </c>
      <c r="AT27" s="181">
        <v>22</v>
      </c>
      <c r="AU27" s="177">
        <v>153</v>
      </c>
      <c r="AV27" s="177">
        <v>155</v>
      </c>
      <c r="AW27" s="177">
        <v>216</v>
      </c>
      <c r="AX27" s="177">
        <v>349</v>
      </c>
      <c r="AY27" s="177">
        <v>235</v>
      </c>
      <c r="AZ27" s="177">
        <v>45</v>
      </c>
      <c r="BA27" s="177">
        <v>373</v>
      </c>
      <c r="BB27" s="177">
        <v>298</v>
      </c>
      <c r="BC27" s="177">
        <v>656</v>
      </c>
      <c r="BD27" s="177">
        <v>465</v>
      </c>
      <c r="BE27" s="177">
        <v>159</v>
      </c>
      <c r="BF27" s="179">
        <v>462</v>
      </c>
      <c r="BG27" s="177">
        <v>4</v>
      </c>
      <c r="BH27" s="177">
        <v>20</v>
      </c>
      <c r="BI27" s="177">
        <v>127</v>
      </c>
      <c r="BJ27" s="177">
        <v>54</v>
      </c>
      <c r="BK27" s="177">
        <v>24</v>
      </c>
      <c r="BL27" s="177">
        <v>22</v>
      </c>
      <c r="BM27" s="177">
        <v>210</v>
      </c>
      <c r="BN27" s="177">
        <v>240</v>
      </c>
      <c r="BO27" s="177">
        <v>4</v>
      </c>
      <c r="BP27" s="177">
        <v>86</v>
      </c>
      <c r="BQ27" s="177">
        <v>80</v>
      </c>
      <c r="BR27" s="179">
        <v>129</v>
      </c>
      <c r="BS27" s="177">
        <v>30</v>
      </c>
      <c r="BT27" s="177">
        <v>513</v>
      </c>
      <c r="BU27" s="177">
        <v>210</v>
      </c>
      <c r="BV27" s="177">
        <v>382</v>
      </c>
      <c r="BW27" s="177">
        <v>156</v>
      </c>
      <c r="BX27" s="177">
        <v>326</v>
      </c>
      <c r="BY27" s="177">
        <v>88</v>
      </c>
      <c r="BZ27" s="177">
        <v>190</v>
      </c>
      <c r="CA27" s="177">
        <v>255</v>
      </c>
      <c r="CB27" s="179">
        <v>266</v>
      </c>
      <c r="CC27" s="177">
        <v>256</v>
      </c>
      <c r="CD27" s="177">
        <v>104</v>
      </c>
      <c r="CE27" s="177">
        <v>171</v>
      </c>
      <c r="CF27" s="177">
        <v>32</v>
      </c>
      <c r="CG27" s="177">
        <v>574</v>
      </c>
      <c r="CH27" s="177">
        <v>605</v>
      </c>
      <c r="CI27" s="177">
        <v>351</v>
      </c>
      <c r="CJ27" s="177">
        <v>934</v>
      </c>
      <c r="CK27" s="178">
        <v>322</v>
      </c>
      <c r="CL27" s="180">
        <v>10353</v>
      </c>
    </row>
    <row r="28" spans="1:90">
      <c r="A28" s="93">
        <f>ROWS($A$3:A26)</f>
        <v>24</v>
      </c>
      <c r="B28" s="59" t="s">
        <v>5</v>
      </c>
      <c r="C28" s="241"/>
      <c r="D28" s="321" t="s">
        <v>14</v>
      </c>
      <c r="E28" s="322">
        <v>40679</v>
      </c>
      <c r="F28" s="156">
        <v>2265</v>
      </c>
      <c r="G28" s="177">
        <v>809</v>
      </c>
      <c r="H28" s="177">
        <v>1258</v>
      </c>
      <c r="I28" s="178">
        <v>1995</v>
      </c>
      <c r="J28" s="181"/>
      <c r="K28" s="156">
        <f t="shared" si="38"/>
        <v>306</v>
      </c>
      <c r="L28" s="177">
        <f t="shared" si="39"/>
        <v>100</v>
      </c>
      <c r="M28" s="177">
        <f t="shared" si="40"/>
        <v>255</v>
      </c>
      <c r="N28" s="177">
        <f t="shared" si="41"/>
        <v>161</v>
      </c>
      <c r="O28" s="177">
        <f t="shared" si="42"/>
        <v>144</v>
      </c>
      <c r="P28" s="177">
        <f t="shared" si="43"/>
        <v>252</v>
      </c>
      <c r="Q28" s="177">
        <f>'2010'!AU28</f>
        <v>110</v>
      </c>
      <c r="R28" s="177">
        <f t="shared" si="44"/>
        <v>179</v>
      </c>
      <c r="S28" s="177">
        <f t="shared" si="45"/>
        <v>103</v>
      </c>
      <c r="T28" s="177">
        <f t="shared" si="46"/>
        <v>198</v>
      </c>
      <c r="U28" s="179">
        <f t="shared" si="47"/>
        <v>457</v>
      </c>
      <c r="V28" s="177">
        <f t="shared" si="48"/>
        <v>45</v>
      </c>
      <c r="W28" s="177">
        <f t="shared" si="49"/>
        <v>72</v>
      </c>
      <c r="X28" s="177">
        <f t="shared" si="50"/>
        <v>137</v>
      </c>
      <c r="Y28" s="177">
        <f t="shared" si="51"/>
        <v>218</v>
      </c>
      <c r="Z28" s="177">
        <f t="shared" si="52"/>
        <v>176</v>
      </c>
      <c r="AA28" s="177">
        <f t="shared" si="53"/>
        <v>88</v>
      </c>
      <c r="AB28" s="179">
        <f t="shared" si="54"/>
        <v>73</v>
      </c>
      <c r="AC28" s="177">
        <f t="shared" si="55"/>
        <v>177</v>
      </c>
      <c r="AD28" s="177">
        <f t="shared" si="56"/>
        <v>65</v>
      </c>
      <c r="AE28" s="177">
        <f t="shared" si="57"/>
        <v>191</v>
      </c>
      <c r="AF28" s="177">
        <f t="shared" si="58"/>
        <v>97</v>
      </c>
      <c r="AG28" s="177">
        <f t="shared" si="59"/>
        <v>181</v>
      </c>
      <c r="AH28" s="177">
        <f t="shared" si="60"/>
        <v>153</v>
      </c>
      <c r="AI28" s="177">
        <f t="shared" si="61"/>
        <v>140</v>
      </c>
      <c r="AJ28" s="177">
        <f t="shared" si="62"/>
        <v>80</v>
      </c>
      <c r="AK28" s="179">
        <f t="shared" si="63"/>
        <v>174</v>
      </c>
      <c r="AL28" s="177">
        <f t="shared" si="64"/>
        <v>100</v>
      </c>
      <c r="AM28" s="177">
        <f t="shared" si="65"/>
        <v>425</v>
      </c>
      <c r="AN28" s="177">
        <f t="shared" si="66"/>
        <v>483</v>
      </c>
      <c r="AO28" s="177">
        <f t="shared" si="67"/>
        <v>163</v>
      </c>
      <c r="AP28" s="177">
        <f t="shared" si="68"/>
        <v>50</v>
      </c>
      <c r="AQ28" s="177">
        <f t="shared" si="69"/>
        <v>210</v>
      </c>
      <c r="AR28" s="177">
        <f t="shared" si="70"/>
        <v>125</v>
      </c>
      <c r="AS28" s="178">
        <f t="shared" si="71"/>
        <v>439</v>
      </c>
      <c r="AT28" s="181">
        <v>10</v>
      </c>
      <c r="AU28" s="177">
        <v>110</v>
      </c>
      <c r="AV28" s="177">
        <v>103</v>
      </c>
      <c r="AW28" s="177">
        <v>161</v>
      </c>
      <c r="AX28" s="177">
        <v>169</v>
      </c>
      <c r="AY28" s="177">
        <v>100</v>
      </c>
      <c r="AZ28" s="177">
        <v>14</v>
      </c>
      <c r="BA28" s="177">
        <v>238</v>
      </c>
      <c r="BB28" s="177">
        <v>198</v>
      </c>
      <c r="BC28" s="177">
        <v>457</v>
      </c>
      <c r="BD28" s="177">
        <v>255</v>
      </c>
      <c r="BE28" s="177">
        <v>144</v>
      </c>
      <c r="BF28" s="179">
        <v>306</v>
      </c>
      <c r="BG28" s="177">
        <v>4</v>
      </c>
      <c r="BH28" s="177">
        <v>4</v>
      </c>
      <c r="BI28" s="177">
        <v>133</v>
      </c>
      <c r="BJ28" s="177">
        <v>41</v>
      </c>
      <c r="BK28" s="177">
        <v>7</v>
      </c>
      <c r="BL28" s="177">
        <v>18</v>
      </c>
      <c r="BM28" s="177">
        <v>176</v>
      </c>
      <c r="BN28" s="177">
        <v>193</v>
      </c>
      <c r="BO28" s="177">
        <v>4</v>
      </c>
      <c r="BP28" s="177">
        <v>73</v>
      </c>
      <c r="BQ28" s="177">
        <v>84</v>
      </c>
      <c r="BR28" s="179">
        <v>72</v>
      </c>
      <c r="BS28" s="177">
        <v>11</v>
      </c>
      <c r="BT28" s="177">
        <v>180</v>
      </c>
      <c r="BU28" s="177">
        <v>65</v>
      </c>
      <c r="BV28" s="177">
        <v>181</v>
      </c>
      <c r="BW28" s="177">
        <v>140</v>
      </c>
      <c r="BX28" s="177">
        <v>177</v>
      </c>
      <c r="BY28" s="177">
        <v>80</v>
      </c>
      <c r="BZ28" s="177">
        <v>153</v>
      </c>
      <c r="CA28" s="177">
        <v>97</v>
      </c>
      <c r="CB28" s="179">
        <v>174</v>
      </c>
      <c r="CC28" s="177">
        <v>163</v>
      </c>
      <c r="CD28" s="177">
        <v>50</v>
      </c>
      <c r="CE28" s="177">
        <v>100</v>
      </c>
      <c r="CF28" s="177">
        <v>32</v>
      </c>
      <c r="CG28" s="177">
        <v>407</v>
      </c>
      <c r="CH28" s="177">
        <v>425</v>
      </c>
      <c r="CI28" s="177">
        <v>125</v>
      </c>
      <c r="CJ28" s="177">
        <v>483</v>
      </c>
      <c r="CK28" s="178">
        <v>210</v>
      </c>
      <c r="CL28" s="180">
        <v>6327</v>
      </c>
    </row>
    <row r="29" spans="1:90">
      <c r="A29" s="93">
        <f>ROWS($A$3:A27)</f>
        <v>25</v>
      </c>
      <c r="B29" s="59" t="s">
        <v>6</v>
      </c>
      <c r="C29" s="241"/>
      <c r="D29" s="321" t="s">
        <v>14</v>
      </c>
      <c r="E29" s="322">
        <v>40679</v>
      </c>
      <c r="F29" s="156">
        <v>855</v>
      </c>
      <c r="G29" s="177">
        <v>555</v>
      </c>
      <c r="H29" s="177">
        <v>581</v>
      </c>
      <c r="I29" s="178">
        <v>792</v>
      </c>
      <c r="J29" s="181"/>
      <c r="K29" s="156">
        <f t="shared" si="38"/>
        <v>133</v>
      </c>
      <c r="L29" s="177">
        <f t="shared" si="39"/>
        <v>34</v>
      </c>
      <c r="M29" s="177">
        <f t="shared" si="40"/>
        <v>173</v>
      </c>
      <c r="N29" s="177">
        <f t="shared" si="41"/>
        <v>46</v>
      </c>
      <c r="O29" s="177">
        <f t="shared" si="42"/>
        <v>55</v>
      </c>
      <c r="P29" s="177">
        <f t="shared" si="43"/>
        <v>115</v>
      </c>
      <c r="Q29" s="177">
        <f>'2010'!AU29</f>
        <v>48</v>
      </c>
      <c r="R29" s="177">
        <f t="shared" si="44"/>
        <v>33</v>
      </c>
      <c r="S29" s="177">
        <f t="shared" si="45"/>
        <v>30</v>
      </c>
      <c r="T29" s="177">
        <f t="shared" si="46"/>
        <v>83</v>
      </c>
      <c r="U29" s="179">
        <f t="shared" si="47"/>
        <v>105</v>
      </c>
      <c r="V29" s="177">
        <f t="shared" si="48"/>
        <v>45</v>
      </c>
      <c r="W29" s="177">
        <f t="shared" si="49"/>
        <v>43</v>
      </c>
      <c r="X29" s="177">
        <f t="shared" si="50"/>
        <v>141</v>
      </c>
      <c r="Y29" s="177">
        <f t="shared" si="51"/>
        <v>88</v>
      </c>
      <c r="Z29" s="177">
        <f t="shared" si="52"/>
        <v>139</v>
      </c>
      <c r="AA29" s="177">
        <f t="shared" si="53"/>
        <v>58</v>
      </c>
      <c r="AB29" s="179">
        <f t="shared" si="54"/>
        <v>41</v>
      </c>
      <c r="AC29" s="177">
        <f t="shared" si="55"/>
        <v>75</v>
      </c>
      <c r="AD29" s="177">
        <f t="shared" si="56"/>
        <v>26</v>
      </c>
      <c r="AE29" s="177">
        <f t="shared" si="57"/>
        <v>51</v>
      </c>
      <c r="AF29" s="177">
        <f t="shared" si="58"/>
        <v>19</v>
      </c>
      <c r="AG29" s="177">
        <f t="shared" si="59"/>
        <v>83</v>
      </c>
      <c r="AH29" s="177">
        <f t="shared" si="60"/>
        <v>86</v>
      </c>
      <c r="AI29" s="177">
        <f t="shared" si="61"/>
        <v>78</v>
      </c>
      <c r="AJ29" s="177">
        <f t="shared" si="62"/>
        <v>87</v>
      </c>
      <c r="AK29" s="179">
        <f t="shared" si="63"/>
        <v>76</v>
      </c>
      <c r="AL29" s="177">
        <f t="shared" si="64"/>
        <v>105</v>
      </c>
      <c r="AM29" s="177">
        <f t="shared" si="65"/>
        <v>137</v>
      </c>
      <c r="AN29" s="177">
        <f t="shared" si="66"/>
        <v>63</v>
      </c>
      <c r="AO29" s="177">
        <f t="shared" si="67"/>
        <v>103</v>
      </c>
      <c r="AP29" s="177">
        <f t="shared" si="68"/>
        <v>62</v>
      </c>
      <c r="AQ29" s="177">
        <f t="shared" si="69"/>
        <v>152</v>
      </c>
      <c r="AR29" s="177">
        <f t="shared" si="70"/>
        <v>29</v>
      </c>
      <c r="AS29" s="178">
        <f t="shared" si="71"/>
        <v>141</v>
      </c>
      <c r="AT29" s="181">
        <v>2</v>
      </c>
      <c r="AU29" s="177">
        <v>48</v>
      </c>
      <c r="AV29" s="177">
        <v>30</v>
      </c>
      <c r="AW29" s="177">
        <v>46</v>
      </c>
      <c r="AX29" s="177">
        <v>31</v>
      </c>
      <c r="AY29" s="177">
        <v>34</v>
      </c>
      <c r="AZ29" s="177">
        <v>6</v>
      </c>
      <c r="BA29" s="177">
        <v>109</v>
      </c>
      <c r="BB29" s="177">
        <v>83</v>
      </c>
      <c r="BC29" s="177">
        <v>105</v>
      </c>
      <c r="BD29" s="177">
        <v>173</v>
      </c>
      <c r="BE29" s="177">
        <v>55</v>
      </c>
      <c r="BF29" s="179">
        <v>133</v>
      </c>
      <c r="BG29" s="177">
        <v>4</v>
      </c>
      <c r="BH29" s="177">
        <v>6</v>
      </c>
      <c r="BI29" s="177">
        <v>135</v>
      </c>
      <c r="BJ29" s="177">
        <v>41</v>
      </c>
      <c r="BK29" s="177">
        <v>2</v>
      </c>
      <c r="BL29" s="177">
        <v>4</v>
      </c>
      <c r="BM29" s="177">
        <v>139</v>
      </c>
      <c r="BN29" s="177">
        <v>82</v>
      </c>
      <c r="BO29" s="177">
        <v>4</v>
      </c>
      <c r="BP29" s="177">
        <v>41</v>
      </c>
      <c r="BQ29" s="177">
        <v>54</v>
      </c>
      <c r="BR29" s="179">
        <v>43</v>
      </c>
      <c r="BS29" s="177">
        <v>4</v>
      </c>
      <c r="BT29" s="177">
        <v>47</v>
      </c>
      <c r="BU29" s="177">
        <v>26</v>
      </c>
      <c r="BV29" s="177">
        <v>83</v>
      </c>
      <c r="BW29" s="177">
        <v>78</v>
      </c>
      <c r="BX29" s="177">
        <v>75</v>
      </c>
      <c r="BY29" s="177">
        <v>87</v>
      </c>
      <c r="BZ29" s="177">
        <v>86</v>
      </c>
      <c r="CA29" s="177">
        <v>19</v>
      </c>
      <c r="CB29" s="179">
        <v>76</v>
      </c>
      <c r="CC29" s="177">
        <v>103</v>
      </c>
      <c r="CD29" s="177">
        <v>62</v>
      </c>
      <c r="CE29" s="177">
        <v>105</v>
      </c>
      <c r="CF29" s="177">
        <v>7</v>
      </c>
      <c r="CG29" s="177">
        <v>134</v>
      </c>
      <c r="CH29" s="177">
        <v>137</v>
      </c>
      <c r="CI29" s="177">
        <v>29</v>
      </c>
      <c r="CJ29" s="177">
        <v>63</v>
      </c>
      <c r="CK29" s="178">
        <v>152</v>
      </c>
      <c r="CL29" s="180">
        <v>2783</v>
      </c>
    </row>
    <row r="30" spans="1:90">
      <c r="A30" s="93">
        <f>ROWS($A$3:A28)</f>
        <v>26</v>
      </c>
      <c r="B30" s="60" t="s">
        <v>276</v>
      </c>
      <c r="C30" s="323"/>
      <c r="D30" s="321" t="s">
        <v>1</v>
      </c>
      <c r="E30" s="320"/>
      <c r="F30" s="207">
        <f>F35/F23</f>
        <v>32.264638466347158</v>
      </c>
      <c r="G30" s="208">
        <f>G35/G23</f>
        <v>40.845436105476672</v>
      </c>
      <c r="H30" s="208">
        <f>H35/H23</f>
        <v>23.383219454852693</v>
      </c>
      <c r="I30" s="209">
        <f>I35/I23</f>
        <v>36.79255227233454</v>
      </c>
      <c r="J30" s="213"/>
      <c r="K30" s="218">
        <f t="shared" si="38"/>
        <v>35.38806787082649</v>
      </c>
      <c r="L30" s="219">
        <f t="shared" si="39"/>
        <v>19.795031055900623</v>
      </c>
      <c r="M30" s="219">
        <f t="shared" si="40"/>
        <v>43.84407216494845</v>
      </c>
      <c r="N30" s="219">
        <f t="shared" si="41"/>
        <v>35.966751918158565</v>
      </c>
      <c r="O30" s="219">
        <f t="shared" si="42"/>
        <v>45.077452667814114</v>
      </c>
      <c r="P30" s="208">
        <f>P35/P23</f>
        <v>25.152446946730187</v>
      </c>
      <c r="Q30" s="219">
        <f>'2010'!AU30</f>
        <v>36.519867549668874</v>
      </c>
      <c r="R30" s="208">
        <f>R35/R23</f>
        <v>22.584364820846904</v>
      </c>
      <c r="S30" s="219">
        <f t="shared" si="45"/>
        <v>29.792109256449166</v>
      </c>
      <c r="T30" s="219">
        <f t="shared" si="46"/>
        <v>33.543531326281531</v>
      </c>
      <c r="U30" s="220">
        <f t="shared" si="47"/>
        <v>37.588872476612508</v>
      </c>
      <c r="V30" s="208">
        <f>V35/V23</f>
        <v>24.246596066565811</v>
      </c>
      <c r="W30" s="219">
        <f t="shared" si="49"/>
        <v>36.584139264990327</v>
      </c>
      <c r="X30" s="208">
        <f>X35/X23</f>
        <v>48.205314009661834</v>
      </c>
      <c r="Y30" s="208">
        <f>Y35/Y23</f>
        <v>38.028444444444446</v>
      </c>
      <c r="Z30" s="219">
        <f t="shared" si="52"/>
        <v>52.759681093394079</v>
      </c>
      <c r="AA30" s="208">
        <f>AA35/AA23</f>
        <v>44.10503282275711</v>
      </c>
      <c r="AB30" s="220">
        <f t="shared" si="54"/>
        <v>37.181034482758619</v>
      </c>
      <c r="AC30" s="219">
        <f t="shared" si="55"/>
        <v>37.443587270973964</v>
      </c>
      <c r="AD30" s="219">
        <f t="shared" si="56"/>
        <v>15.685654008438819</v>
      </c>
      <c r="AE30" s="208">
        <f>AE35/AE23</f>
        <v>16.826072926750566</v>
      </c>
      <c r="AF30" s="219">
        <f t="shared" si="58"/>
        <v>21.553072625698324</v>
      </c>
      <c r="AG30" s="219">
        <f t="shared" si="59"/>
        <v>15.537513997760358</v>
      </c>
      <c r="AH30" s="219">
        <f t="shared" si="60"/>
        <v>37.394444444444446</v>
      </c>
      <c r="AI30" s="219">
        <f t="shared" si="61"/>
        <v>37.616250000000001</v>
      </c>
      <c r="AJ30" s="219">
        <f t="shared" si="62"/>
        <v>52.1505376344086</v>
      </c>
      <c r="AK30" s="220">
        <f t="shared" si="63"/>
        <v>30.872785829307567</v>
      </c>
      <c r="AL30" s="219">
        <f t="shared" si="64"/>
        <v>44.921854304635758</v>
      </c>
      <c r="AM30" s="219">
        <f t="shared" si="65"/>
        <v>41.305194805194802</v>
      </c>
      <c r="AN30" s="219">
        <f t="shared" si="66"/>
        <v>33.678125000000001</v>
      </c>
      <c r="AO30" s="219">
        <f t="shared" si="67"/>
        <v>40.339319470699429</v>
      </c>
      <c r="AP30" s="219">
        <f t="shared" si="68"/>
        <v>47.954653937947491</v>
      </c>
      <c r="AQ30" s="219">
        <f t="shared" si="69"/>
        <v>43.668269230769234</v>
      </c>
      <c r="AR30" s="219">
        <f t="shared" si="70"/>
        <v>19.904591532498511</v>
      </c>
      <c r="AS30" s="209">
        <f t="shared" ref="AS30:CL30" si="72">AS35/AS23</f>
        <v>39.184171229467395</v>
      </c>
      <c r="AT30" s="208">
        <f t="shared" si="72"/>
        <v>12.631313131313131</v>
      </c>
      <c r="AU30" s="208">
        <f t="shared" si="72"/>
        <v>36.519867549668874</v>
      </c>
      <c r="AV30" s="208">
        <f t="shared" si="72"/>
        <v>29.792109256449166</v>
      </c>
      <c r="AW30" s="208">
        <f t="shared" si="72"/>
        <v>35.966751918158565</v>
      </c>
      <c r="AX30" s="208">
        <f t="shared" si="72"/>
        <v>24.05833956619297</v>
      </c>
      <c r="AY30" s="208">
        <f t="shared" si="72"/>
        <v>19.795031055900623</v>
      </c>
      <c r="AZ30" s="208">
        <f t="shared" si="72"/>
        <v>22.846994535519126</v>
      </c>
      <c r="BA30" s="208">
        <f t="shared" si="72"/>
        <v>25.350893697083727</v>
      </c>
      <c r="BB30" s="208">
        <f t="shared" si="72"/>
        <v>33.543531326281531</v>
      </c>
      <c r="BC30" s="208">
        <f t="shared" si="72"/>
        <v>37.588872476612508</v>
      </c>
      <c r="BD30" s="208">
        <f t="shared" si="72"/>
        <v>43.84407216494845</v>
      </c>
      <c r="BE30" s="208">
        <f t="shared" si="72"/>
        <v>45.077452667814114</v>
      </c>
      <c r="BF30" s="216">
        <f t="shared" si="72"/>
        <v>35.38806787082649</v>
      </c>
      <c r="BG30" s="208">
        <f t="shared" si="72"/>
        <v>13.307017543859649</v>
      </c>
      <c r="BH30" s="208">
        <f t="shared" si="72"/>
        <v>38.738461538461536</v>
      </c>
      <c r="BI30" s="208">
        <f t="shared" si="72"/>
        <v>49.011795543905635</v>
      </c>
      <c r="BJ30" s="208">
        <f t="shared" si="72"/>
        <v>26.526508226691043</v>
      </c>
      <c r="BK30" s="208">
        <f t="shared" si="72"/>
        <v>20.573033707865168</v>
      </c>
      <c r="BL30" s="208">
        <f t="shared" si="72"/>
        <v>41.362318840579711</v>
      </c>
      <c r="BM30" s="208">
        <f t="shared" si="72"/>
        <v>52.759681093394079</v>
      </c>
      <c r="BN30" s="208">
        <f t="shared" si="72"/>
        <v>39.397104446742503</v>
      </c>
      <c r="BO30" s="208">
        <f t="shared" si="72"/>
        <v>42.458333333333336</v>
      </c>
      <c r="BP30" s="208">
        <f t="shared" si="72"/>
        <v>37.181034482758619</v>
      </c>
      <c r="BQ30" s="208">
        <f t="shared" si="72"/>
        <v>44.196304849884527</v>
      </c>
      <c r="BR30" s="216">
        <f t="shared" si="72"/>
        <v>36.584139264990327</v>
      </c>
      <c r="BS30" s="208">
        <f t="shared" si="72"/>
        <v>16.102803738317757</v>
      </c>
      <c r="BT30" s="208">
        <f t="shared" si="72"/>
        <v>16.879722703639516</v>
      </c>
      <c r="BU30" s="208">
        <f t="shared" si="72"/>
        <v>15.685654008438819</v>
      </c>
      <c r="BV30" s="208">
        <f t="shared" si="72"/>
        <v>15.537513997760358</v>
      </c>
      <c r="BW30" s="208">
        <f t="shared" si="72"/>
        <v>37.616250000000001</v>
      </c>
      <c r="BX30" s="208">
        <f t="shared" si="72"/>
        <v>37.443587270973964</v>
      </c>
      <c r="BY30" s="208">
        <f t="shared" si="72"/>
        <v>52.1505376344086</v>
      </c>
      <c r="BZ30" s="208">
        <f t="shared" si="72"/>
        <v>37.394444444444446</v>
      </c>
      <c r="CA30" s="208">
        <f t="shared" si="72"/>
        <v>21.553072625698324</v>
      </c>
      <c r="CB30" s="216">
        <f t="shared" si="72"/>
        <v>30.872785829307567</v>
      </c>
      <c r="CC30" s="208">
        <f t="shared" si="72"/>
        <v>40.339319470699429</v>
      </c>
      <c r="CD30" s="208">
        <f t="shared" si="72"/>
        <v>47.954653937947491</v>
      </c>
      <c r="CE30" s="208">
        <f t="shared" si="72"/>
        <v>44.921854304635758</v>
      </c>
      <c r="CF30" s="208">
        <f t="shared" si="72"/>
        <v>39.779661016949156</v>
      </c>
      <c r="CG30" s="208">
        <f t="shared" si="72"/>
        <v>39.147012162876784</v>
      </c>
      <c r="CH30" s="208">
        <f t="shared" si="72"/>
        <v>41.305194805194802</v>
      </c>
      <c r="CI30" s="208">
        <f t="shared" si="72"/>
        <v>19.904591532498511</v>
      </c>
      <c r="CJ30" s="208">
        <f t="shared" si="72"/>
        <v>33.678125000000001</v>
      </c>
      <c r="CK30" s="209">
        <f t="shared" si="72"/>
        <v>43.668269230769234</v>
      </c>
      <c r="CL30" s="217">
        <f t="shared" si="72"/>
        <v>31.67658159597412</v>
      </c>
    </row>
    <row r="31" spans="1:90">
      <c r="A31" s="93">
        <f>ROWS($A$3:A29)</f>
        <v>27</v>
      </c>
      <c r="B31" s="60" t="str">
        <f>"Entwicklung Betriebe ab 5 ha LF von 2001 / "&amp;C23</f>
        <v>Entwicklung Betriebe ab 5 ha LF von 2001 / 2010</v>
      </c>
      <c r="C31" s="323"/>
      <c r="D31" s="321" t="s">
        <v>4</v>
      </c>
      <c r="E31" s="320"/>
      <c r="F31" s="182">
        <f>(F23-F24)/('2001'!F23-'2001'!F24)%-100</f>
        <v>-21.145494028230189</v>
      </c>
      <c r="G31" s="183">
        <f>(G23-G24)/('2001'!G23-'2001'!G24)%-100</f>
        <v>-19.779787652379085</v>
      </c>
      <c r="H31" s="183">
        <f>(H23-H24)/('2001'!H23-'2001'!H24)%-100</f>
        <v>-18.794927711816499</v>
      </c>
      <c r="I31" s="184">
        <f>(I23-I24)/('2001'!I23-'2001'!I24)%-100</f>
        <v>-22.273257509477986</v>
      </c>
      <c r="J31" s="181"/>
      <c r="K31" s="156">
        <f t="shared" si="38"/>
        <v>-23.485513608428448</v>
      </c>
      <c r="L31" s="177">
        <f t="shared" si="39"/>
        <v>-17.068466730954668</v>
      </c>
      <c r="M31" s="177">
        <f t="shared" si="40"/>
        <v>-25.499729875742844</v>
      </c>
      <c r="N31" s="177">
        <f t="shared" si="41"/>
        <v>-18.266978922716618</v>
      </c>
      <c r="O31" s="177">
        <f t="shared" si="42"/>
        <v>-16.442451420029897</v>
      </c>
      <c r="P31" s="183">
        <f>100-(P23%/((AZ23%)/(100-AZ31)+(BA23%)/(100-BA31)))</f>
        <v>-18.548595714788078</v>
      </c>
      <c r="Q31" s="186">
        <f>'2010'!AU31</f>
        <v>-23.54570637119113</v>
      </c>
      <c r="R31" s="183">
        <f>100-(R23%/((AT23%)/(100-AT31)+(AX23%)/(100-AX31)))</f>
        <v>-14.41252553892528</v>
      </c>
      <c r="S31" s="186">
        <f t="shared" si="45"/>
        <v>-19.878603945371779</v>
      </c>
      <c r="T31" s="186">
        <f t="shared" si="46"/>
        <v>-25.193199381761971</v>
      </c>
      <c r="U31" s="187">
        <f t="shared" si="47"/>
        <v>-21.78060413354531</v>
      </c>
      <c r="V31" s="183">
        <f>100-(V23%/((BG23%)/(100-BG31)+(BJ23%)/(100-BJ31)))</f>
        <v>-10.70248002776637</v>
      </c>
      <c r="W31" s="186">
        <f t="shared" si="49"/>
        <v>-21.993670886075947</v>
      </c>
      <c r="X31" s="183">
        <f>100-(X23%/((BH23%)/(100-BH31)+(BI23%)/(100-BI31)))</f>
        <v>-16.486772896849217</v>
      </c>
      <c r="Y31" s="183">
        <f>100-(Y23%/((BK23%)/(100-BK31)+(BL23%)/(100-BL31)+(BN23%)/(100-BN31)))</f>
        <v>-19.588690181733554</v>
      </c>
      <c r="Z31" s="186">
        <f t="shared" si="52"/>
        <v>-23.272727272727266</v>
      </c>
      <c r="AA31" s="183">
        <f>100-(AA23%/((BO23%)/(100-BO31)+(BQ23%)/(100-BQ31)))</f>
        <v>-17.259985971940282</v>
      </c>
      <c r="AB31" s="187">
        <f t="shared" si="54"/>
        <v>-23.519163763066203</v>
      </c>
      <c r="AC31" s="186">
        <f t="shared" si="55"/>
        <v>-19.984326018808773</v>
      </c>
      <c r="AD31" s="186">
        <f t="shared" si="56"/>
        <v>-14.015151515151516</v>
      </c>
      <c r="AE31" s="183">
        <f>100-(AE23%/((BS23%)/(100-BS31)+(BT23%)/(100-BT31)))</f>
        <v>-15.770382419758363</v>
      </c>
      <c r="AF31" s="186">
        <f t="shared" si="58"/>
        <v>-19.944082013047534</v>
      </c>
      <c r="AG31" s="186">
        <f t="shared" si="59"/>
        <v>-16.385630498533729</v>
      </c>
      <c r="AH31" s="186">
        <f t="shared" si="60"/>
        <v>-21.001088139281819</v>
      </c>
      <c r="AI31" s="186">
        <f t="shared" si="61"/>
        <v>-21.233569261880689</v>
      </c>
      <c r="AJ31" s="186">
        <f t="shared" si="62"/>
        <v>-24.333333333333329</v>
      </c>
      <c r="AK31" s="187">
        <f t="shared" si="63"/>
        <v>-23.653846153846146</v>
      </c>
      <c r="AL31" s="186">
        <f t="shared" si="64"/>
        <v>-20.950323974082067</v>
      </c>
      <c r="AM31" s="186">
        <f t="shared" si="65"/>
        <v>-22.357019064124771</v>
      </c>
      <c r="AN31" s="186">
        <f t="shared" si="66"/>
        <v>-20.78947368421052</v>
      </c>
      <c r="AO31" s="186">
        <f t="shared" si="67"/>
        <v>-22.453703703703709</v>
      </c>
      <c r="AP31" s="186">
        <f t="shared" si="68"/>
        <v>-23.943661971830977</v>
      </c>
      <c r="AQ31" s="186">
        <f t="shared" si="69"/>
        <v>-25.56993222427603</v>
      </c>
      <c r="AR31" s="186">
        <f t="shared" si="70"/>
        <v>-18.628110289172824</v>
      </c>
      <c r="AS31" s="184">
        <f>100-(AS23%/((CF23%)/(100-CF31)+(CG23%)/(100-CG31)))</f>
        <v>-24.071959685113711</v>
      </c>
      <c r="AT31" s="186">
        <f>(AT23-AT24)/('2001'!AT23-'2001'!AT24)%-100</f>
        <v>-4.0816326530612201</v>
      </c>
      <c r="AU31" s="177">
        <f>(AU23-AU24)/('2001'!AU23-'2001'!AU24)%-100</f>
        <v>-23.54570637119113</v>
      </c>
      <c r="AV31" s="177">
        <f>(AV23-AV24)/('2001'!AV23-'2001'!AV24)%-100</f>
        <v>-19.878603945371779</v>
      </c>
      <c r="AW31" s="177">
        <f>(AW23-AW24)/('2001'!AW23-'2001'!AW24)%-100</f>
        <v>-18.266978922716618</v>
      </c>
      <c r="AX31" s="177">
        <f>(AX23-AX24)/('2001'!AX23-'2001'!AX24)%-100</f>
        <v>-16.119402985074629</v>
      </c>
      <c r="AY31" s="177">
        <f>(AY23-AY24)/('2001'!AY23-'2001'!AY24)%-100</f>
        <v>-17.068466730954668</v>
      </c>
      <c r="AZ31" s="177">
        <f>(AZ23-AZ24)/('2001'!AZ23-'2001'!AZ24)%-100</f>
        <v>-17.901234567901241</v>
      </c>
      <c r="BA31" s="177">
        <f>(BA23-BA24)/('2001'!BA23-'2001'!BA24)%-100</f>
        <v>-18.604651162790702</v>
      </c>
      <c r="BB31" s="177">
        <f>(BB23-BB24)/('2001'!BB23-'2001'!BB24)%-100</f>
        <v>-25.193199381761971</v>
      </c>
      <c r="BC31" s="177">
        <f>(BC23-BC24)/('2001'!BC23-'2001'!BC24)%-100</f>
        <v>-21.78060413354531</v>
      </c>
      <c r="BD31" s="177">
        <f>(BD23-BD24)/('2001'!BD23-'2001'!BD24)%-100</f>
        <v>-25.499729875742844</v>
      </c>
      <c r="BE31" s="177">
        <f>(BE23-BE24)/('2001'!BE23-'2001'!BE24)%-100</f>
        <v>-16.442451420029897</v>
      </c>
      <c r="BF31" s="179">
        <f>(BF23-BF24)/('2001'!BF23-'2001'!BF24)%-100</f>
        <v>-23.485513608428448</v>
      </c>
      <c r="BG31" s="177">
        <f>(BG23-BG24)/('2001'!BG23-'2001'!BG24)%-100</f>
        <v>-13.333333333333329</v>
      </c>
      <c r="BH31" s="177">
        <f>(BH23-BH24)/('2001'!BH23-'2001'!BH24)%-100</f>
        <v>-20.634920634920633</v>
      </c>
      <c r="BI31" s="177">
        <f>(BI23-BI24)/('2001'!BI23-'2001'!BI24)%-100</f>
        <v>-16.14654002713705</v>
      </c>
      <c r="BJ31" s="177">
        <f>(BJ23-BJ24)/('2001'!BJ23-'2001'!BJ24)%-100</f>
        <v>-10.169491525423723</v>
      </c>
      <c r="BK31" s="177">
        <f>(BK23-BK24)/('2001'!BK23-'2001'!BK24)%-100</f>
        <v>-10.294117647058826</v>
      </c>
      <c r="BL31" s="177">
        <f>(BL23-BL24)/('2001'!BL23-'2001'!BL24)%-100</f>
        <v>-22.972972972972968</v>
      </c>
      <c r="BM31" s="177">
        <f>(BM23-BM24)/('2001'!BM23-'2001'!BM24)%-100</f>
        <v>-23.272727272727266</v>
      </c>
      <c r="BN31" s="177">
        <f>(BN23-BN24)/('2001'!BN23-'2001'!BN24)%-100</f>
        <v>-20.285423037716626</v>
      </c>
      <c r="BO31" s="177">
        <f>(BO23-BO24)/('2001'!BO23-'2001'!BO24)%-100</f>
        <v>-19.047619047619051</v>
      </c>
      <c r="BP31" s="177">
        <f>(BP23-BP24)/('2001'!BP23-'2001'!BP24)%-100</f>
        <v>-23.519163763066203</v>
      </c>
      <c r="BQ31" s="177">
        <f>(BQ23-BQ24)/('2001'!BQ23-'2001'!BQ24)%-100</f>
        <v>-17.162471395881013</v>
      </c>
      <c r="BR31" s="179">
        <f>(BR23-BR24)/('2001'!BR23-'2001'!BR24)%-100</f>
        <v>-21.993670886075947</v>
      </c>
      <c r="BS31" s="177">
        <f>(BS23-BS24)/('2001'!BS23-'2001'!BS24)%-100</f>
        <v>-12.711864406779654</v>
      </c>
      <c r="BT31" s="177">
        <f>(BT23-BT24)/('2001'!BT23-'2001'!BT24)%-100</f>
        <v>-16.003879728419008</v>
      </c>
      <c r="BU31" s="177">
        <f>(BU23-BU24)/('2001'!BU23-'2001'!BU24)%-100</f>
        <v>-14.015151515151516</v>
      </c>
      <c r="BV31" s="177">
        <f>(BV23-BV24)/('2001'!BV23-'2001'!BV24)%-100</f>
        <v>-16.385630498533729</v>
      </c>
      <c r="BW31" s="177">
        <f>(BW23-BW24)/('2001'!BW23-'2001'!BW24)%-100</f>
        <v>-21.233569261880689</v>
      </c>
      <c r="BX31" s="177">
        <f>(BX23-BX24)/('2001'!BX23-'2001'!BX24)%-100</f>
        <v>-19.984326018808773</v>
      </c>
      <c r="BY31" s="177">
        <f>(BY23-BY24)/('2001'!BY23-'2001'!BY24)%-100</f>
        <v>-24.333333333333329</v>
      </c>
      <c r="BZ31" s="177">
        <f>(BZ23-BZ24)/('2001'!BZ23-'2001'!BZ24)%-100</f>
        <v>-21.001088139281819</v>
      </c>
      <c r="CA31" s="177">
        <f>(CA23-CA24)/('2001'!CA23-'2001'!CA24)%-100</f>
        <v>-19.944082013047534</v>
      </c>
      <c r="CB31" s="179">
        <f>(CB23-CB24)/('2001'!CB23-'2001'!CB24)%-100</f>
        <v>-23.653846153846146</v>
      </c>
      <c r="CC31" s="177">
        <f>(CC23-CC24)/('2001'!CC23-'2001'!CC24)%-100</f>
        <v>-22.453703703703709</v>
      </c>
      <c r="CD31" s="177">
        <f>(CD23-CD24)/('2001'!CD23-'2001'!CD24)%-100</f>
        <v>-23.943661971830977</v>
      </c>
      <c r="CE31" s="177">
        <f>(CE23-CE24)/('2001'!CE23-'2001'!CE24)%-100</f>
        <v>-20.950323974082067</v>
      </c>
      <c r="CF31" s="177">
        <f>(CF23-CF24)/('2001'!CF23-'2001'!CF24)%-100</f>
        <v>-26.086956521739125</v>
      </c>
      <c r="CG31" s="177">
        <f>(CG23-CG24)/('2001'!CG23-'2001'!CG24)%-100</f>
        <v>-23.948354852144945</v>
      </c>
      <c r="CH31" s="177">
        <f>(CH23-CH24)/('2001'!CH23-'2001'!CH24)%-100</f>
        <v>-22.357019064124771</v>
      </c>
      <c r="CI31" s="177">
        <f>(CI23-CI24)/('2001'!CI23-'2001'!CI24)%-100</f>
        <v>-18.628110289172824</v>
      </c>
      <c r="CJ31" s="177">
        <f>(CJ23-CJ24)/('2001'!CJ23-'2001'!CJ24)%-100</f>
        <v>-20.78947368421052</v>
      </c>
      <c r="CK31" s="178">
        <f>(CK23-CK24)/('2001'!CK23-'2001'!CK24)%-100</f>
        <v>-25.56993222427603</v>
      </c>
      <c r="CL31" s="180">
        <f>(CL23-CL24)/('2001'!CL23-'2001'!CL24)%-100</f>
        <v>-20.697314836995574</v>
      </c>
    </row>
    <row r="32" spans="1:90">
      <c r="A32" s="93">
        <f>ROWS($A$3:A30)</f>
        <v>28</v>
      </c>
      <c r="B32" s="60" t="s">
        <v>181</v>
      </c>
      <c r="C32" s="323"/>
      <c r="D32" s="321" t="s">
        <v>4</v>
      </c>
      <c r="E32" s="322">
        <v>40865</v>
      </c>
      <c r="F32" s="156">
        <v>37</v>
      </c>
      <c r="G32" s="177">
        <v>31</v>
      </c>
      <c r="H32" s="177">
        <v>28</v>
      </c>
      <c r="I32" s="178">
        <v>42</v>
      </c>
      <c r="J32" s="181"/>
      <c r="K32" s="156">
        <f t="shared" si="38"/>
        <v>30.8</v>
      </c>
      <c r="L32" s="177">
        <f t="shared" si="39"/>
        <v>33.799999999999997</v>
      </c>
      <c r="M32" s="177">
        <f t="shared" si="40"/>
        <v>31.4</v>
      </c>
      <c r="N32" s="177">
        <f t="shared" si="41"/>
        <v>35.700000000000003</v>
      </c>
      <c r="O32" s="177">
        <f t="shared" si="42"/>
        <v>35.799999999999997</v>
      </c>
      <c r="P32" s="183">
        <f>(AZ23*AZ32+BA23*BA32)/P23</f>
        <v>37.715634473798175</v>
      </c>
      <c r="Q32" s="186">
        <f>'2010'!AU32</f>
        <v>29.3</v>
      </c>
      <c r="R32" s="183">
        <f>(AT23*AT32+AX23*AX32)/R23</f>
        <v>36.652234527687298</v>
      </c>
      <c r="S32" s="186">
        <f t="shared" si="45"/>
        <v>29</v>
      </c>
      <c r="T32" s="186">
        <f t="shared" si="46"/>
        <v>34.799999999999997</v>
      </c>
      <c r="U32" s="187">
        <f t="shared" si="47"/>
        <v>39.51</v>
      </c>
      <c r="V32" s="183">
        <f>(BG23*BG32+BJ23*BJ32)/V23</f>
        <v>20.537518910741301</v>
      </c>
      <c r="W32" s="186">
        <f t="shared" si="49"/>
        <v>21.3</v>
      </c>
      <c r="X32" s="183">
        <f>(BH23*BH32+BI23*BI32)/X23</f>
        <v>32.860386473429948</v>
      </c>
      <c r="Y32" s="183">
        <f>(BK23*BK32+BL23*BL32+BN23*BN32)/Y23</f>
        <v>39.174666666666667</v>
      </c>
      <c r="Z32" s="186">
        <f t="shared" si="52"/>
        <v>29.8</v>
      </c>
      <c r="AA32" s="183">
        <f>(BO23*BO32+BQ23*BQ32)/AA23</f>
        <v>33.229540481400434</v>
      </c>
      <c r="AB32" s="187">
        <f t="shared" si="54"/>
        <v>26.7</v>
      </c>
      <c r="AC32" s="186">
        <f t="shared" si="55"/>
        <v>33.1</v>
      </c>
      <c r="AD32" s="186">
        <f t="shared" si="56"/>
        <v>25.2</v>
      </c>
      <c r="AE32" s="183">
        <f>(BS23*BS32+BT23*BT32)/AE23</f>
        <v>30.101206840916426</v>
      </c>
      <c r="AF32" s="186">
        <f t="shared" si="58"/>
        <v>23.6</v>
      </c>
      <c r="AG32" s="186">
        <f t="shared" si="59"/>
        <v>28.6</v>
      </c>
      <c r="AH32" s="186">
        <f t="shared" si="60"/>
        <v>40.6</v>
      </c>
      <c r="AI32" s="186">
        <f t="shared" si="61"/>
        <v>25.51</v>
      </c>
      <c r="AJ32" s="186">
        <f t="shared" si="62"/>
        <v>25.4</v>
      </c>
      <c r="AK32" s="187">
        <f t="shared" si="63"/>
        <v>24.51</v>
      </c>
      <c r="AL32" s="186">
        <f t="shared" si="64"/>
        <v>22.3</v>
      </c>
      <c r="AM32" s="186">
        <f t="shared" si="65"/>
        <v>47.3</v>
      </c>
      <c r="AN32" s="186">
        <f t="shared" si="66"/>
        <v>59.3</v>
      </c>
      <c r="AO32" s="186">
        <f t="shared" si="67"/>
        <v>24.1</v>
      </c>
      <c r="AP32" s="186">
        <f t="shared" si="68"/>
        <v>22.7</v>
      </c>
      <c r="AQ32" s="186">
        <f t="shared" si="69"/>
        <v>29.2</v>
      </c>
      <c r="AR32" s="186">
        <f t="shared" si="70"/>
        <v>44.51</v>
      </c>
      <c r="AS32" s="184">
        <f>(CF23*CF32+CG23*CG32)/AS23</f>
        <v>38.228471876555503</v>
      </c>
      <c r="AT32" s="186">
        <v>50.51</v>
      </c>
      <c r="AU32" s="177">
        <v>29.3</v>
      </c>
      <c r="AV32" s="177">
        <v>29</v>
      </c>
      <c r="AW32" s="177">
        <v>35.700000000000003</v>
      </c>
      <c r="AX32" s="177">
        <v>34.6</v>
      </c>
      <c r="AY32" s="177">
        <v>33.799999999999997</v>
      </c>
      <c r="AZ32" s="177">
        <v>53</v>
      </c>
      <c r="BA32" s="177">
        <v>36.4</v>
      </c>
      <c r="BB32" s="177">
        <v>34.799999999999997</v>
      </c>
      <c r="BC32" s="177">
        <v>39.51</v>
      </c>
      <c r="BD32" s="177">
        <v>31.4</v>
      </c>
      <c r="BE32" s="177">
        <v>35.799999999999997</v>
      </c>
      <c r="BF32" s="179">
        <v>30.8</v>
      </c>
      <c r="BG32" s="177">
        <v>14</v>
      </c>
      <c r="BH32" s="177">
        <v>27.7</v>
      </c>
      <c r="BI32" s="177">
        <v>33.299999999999997</v>
      </c>
      <c r="BJ32" s="177">
        <v>21.9</v>
      </c>
      <c r="BK32" s="177">
        <v>42.7</v>
      </c>
      <c r="BL32" s="177">
        <v>60.9</v>
      </c>
      <c r="BM32" s="177">
        <v>29.8</v>
      </c>
      <c r="BN32" s="177">
        <v>37.299999999999997</v>
      </c>
      <c r="BO32" s="177">
        <v>50</v>
      </c>
      <c r="BP32" s="177">
        <v>26.7</v>
      </c>
      <c r="BQ32" s="177">
        <v>32.299999999999997</v>
      </c>
      <c r="BR32" s="179">
        <v>21.3</v>
      </c>
      <c r="BS32" s="177">
        <v>35.51</v>
      </c>
      <c r="BT32" s="177">
        <v>29.7</v>
      </c>
      <c r="BU32" s="177">
        <v>25.2</v>
      </c>
      <c r="BV32" s="177">
        <v>28.6</v>
      </c>
      <c r="BW32" s="177">
        <v>25.51</v>
      </c>
      <c r="BX32" s="177">
        <v>33.1</v>
      </c>
      <c r="BY32" s="177">
        <v>25.4</v>
      </c>
      <c r="BZ32" s="177">
        <v>40.6</v>
      </c>
      <c r="CA32" s="177">
        <v>23.6</v>
      </c>
      <c r="CB32" s="179">
        <v>24.51</v>
      </c>
      <c r="CC32" s="177">
        <v>24.1</v>
      </c>
      <c r="CD32" s="177">
        <v>22.7</v>
      </c>
      <c r="CE32" s="177">
        <v>22.3</v>
      </c>
      <c r="CF32" s="177">
        <v>48.3</v>
      </c>
      <c r="CG32" s="177">
        <v>37.6</v>
      </c>
      <c r="CH32" s="177">
        <v>47.3</v>
      </c>
      <c r="CI32" s="177">
        <v>44.51</v>
      </c>
      <c r="CJ32" s="177">
        <v>59.3</v>
      </c>
      <c r="CK32" s="178">
        <v>29.2</v>
      </c>
      <c r="CL32" s="180">
        <v>34.1</v>
      </c>
    </row>
    <row r="33" spans="1:90">
      <c r="A33" s="93">
        <f>ROWS($A$3:A31)</f>
        <v>29</v>
      </c>
      <c r="B33" s="60" t="s">
        <v>72</v>
      </c>
      <c r="C33" s="323"/>
      <c r="D33" s="321" t="s">
        <v>4</v>
      </c>
      <c r="E33" s="320"/>
      <c r="F33" s="182">
        <f>100-F32</f>
        <v>63</v>
      </c>
      <c r="G33" s="183">
        <f>100-G32</f>
        <v>69</v>
      </c>
      <c r="H33" s="183">
        <f>100-H32</f>
        <v>72</v>
      </c>
      <c r="I33" s="184">
        <f>100-I32</f>
        <v>58</v>
      </c>
      <c r="J33" s="181"/>
      <c r="K33" s="185">
        <f t="shared" si="38"/>
        <v>69.2</v>
      </c>
      <c r="L33" s="186">
        <f t="shared" si="39"/>
        <v>66.2</v>
      </c>
      <c r="M33" s="186">
        <f t="shared" si="40"/>
        <v>68.599999999999994</v>
      </c>
      <c r="N33" s="186">
        <f t="shared" si="41"/>
        <v>64.3</v>
      </c>
      <c r="O33" s="186">
        <f t="shared" si="42"/>
        <v>64.2</v>
      </c>
      <c r="P33" s="183">
        <f>100-P32</f>
        <v>62.284365526201825</v>
      </c>
      <c r="Q33" s="186">
        <f>'2010'!AU33</f>
        <v>70.7</v>
      </c>
      <c r="R33" s="183">
        <f>100-R32</f>
        <v>63.347765472312702</v>
      </c>
      <c r="S33" s="186">
        <f t="shared" si="45"/>
        <v>71</v>
      </c>
      <c r="T33" s="186">
        <f t="shared" si="46"/>
        <v>65.2</v>
      </c>
      <c r="U33" s="187">
        <f t="shared" si="47"/>
        <v>60.49</v>
      </c>
      <c r="V33" s="183">
        <f>100-V32</f>
        <v>79.462481089258702</v>
      </c>
      <c r="W33" s="186">
        <f t="shared" si="49"/>
        <v>78.7</v>
      </c>
      <c r="X33" s="183">
        <f>100-X32</f>
        <v>67.139613526570059</v>
      </c>
      <c r="Y33" s="183">
        <f>100-Y32</f>
        <v>60.825333333333333</v>
      </c>
      <c r="Z33" s="186">
        <f t="shared" si="52"/>
        <v>70.2</v>
      </c>
      <c r="AA33" s="183">
        <f>100-AA32</f>
        <v>66.770459518599566</v>
      </c>
      <c r="AB33" s="187">
        <f t="shared" si="54"/>
        <v>73.3</v>
      </c>
      <c r="AC33" s="186">
        <f t="shared" si="55"/>
        <v>66.900000000000006</v>
      </c>
      <c r="AD33" s="186">
        <f t="shared" si="56"/>
        <v>74.8</v>
      </c>
      <c r="AE33" s="183">
        <f>100-AE32</f>
        <v>69.898793159083567</v>
      </c>
      <c r="AF33" s="186">
        <f t="shared" si="58"/>
        <v>76.400000000000006</v>
      </c>
      <c r="AG33" s="186">
        <f t="shared" si="59"/>
        <v>71.400000000000006</v>
      </c>
      <c r="AH33" s="186">
        <f t="shared" si="60"/>
        <v>59.4</v>
      </c>
      <c r="AI33" s="186">
        <f t="shared" si="61"/>
        <v>74.489999999999995</v>
      </c>
      <c r="AJ33" s="186">
        <f t="shared" si="62"/>
        <v>74.599999999999994</v>
      </c>
      <c r="AK33" s="187">
        <f t="shared" si="63"/>
        <v>75.489999999999995</v>
      </c>
      <c r="AL33" s="186">
        <f t="shared" si="64"/>
        <v>77.7</v>
      </c>
      <c r="AM33" s="186">
        <f t="shared" si="65"/>
        <v>52.7</v>
      </c>
      <c r="AN33" s="186">
        <f t="shared" si="66"/>
        <v>40.700000000000003</v>
      </c>
      <c r="AO33" s="186">
        <f t="shared" si="67"/>
        <v>75.900000000000006</v>
      </c>
      <c r="AP33" s="186">
        <f t="shared" si="68"/>
        <v>77.3</v>
      </c>
      <c r="AQ33" s="186">
        <f t="shared" si="69"/>
        <v>70.8</v>
      </c>
      <c r="AR33" s="186">
        <f t="shared" si="70"/>
        <v>55.49</v>
      </c>
      <c r="AS33" s="184">
        <f t="shared" ref="AS33:CL33" si="73">100-AS32</f>
        <v>61.771528123444497</v>
      </c>
      <c r="AT33" s="183">
        <f t="shared" si="73"/>
        <v>49.49</v>
      </c>
      <c r="AU33" s="183">
        <f t="shared" si="73"/>
        <v>70.7</v>
      </c>
      <c r="AV33" s="183">
        <f t="shared" si="73"/>
        <v>71</v>
      </c>
      <c r="AW33" s="183">
        <f t="shared" si="73"/>
        <v>64.3</v>
      </c>
      <c r="AX33" s="183">
        <f t="shared" si="73"/>
        <v>65.400000000000006</v>
      </c>
      <c r="AY33" s="183">
        <f t="shared" si="73"/>
        <v>66.2</v>
      </c>
      <c r="AZ33" s="183">
        <f t="shared" si="73"/>
        <v>47</v>
      </c>
      <c r="BA33" s="183">
        <f t="shared" si="73"/>
        <v>63.6</v>
      </c>
      <c r="BB33" s="183">
        <f t="shared" si="73"/>
        <v>65.2</v>
      </c>
      <c r="BC33" s="183">
        <f t="shared" si="73"/>
        <v>60.49</v>
      </c>
      <c r="BD33" s="183">
        <f t="shared" si="73"/>
        <v>68.599999999999994</v>
      </c>
      <c r="BE33" s="183">
        <f t="shared" si="73"/>
        <v>64.2</v>
      </c>
      <c r="BF33" s="188">
        <f t="shared" si="73"/>
        <v>69.2</v>
      </c>
      <c r="BG33" s="183">
        <f t="shared" si="73"/>
        <v>86</v>
      </c>
      <c r="BH33" s="183">
        <f t="shared" si="73"/>
        <v>72.3</v>
      </c>
      <c r="BI33" s="183">
        <f t="shared" si="73"/>
        <v>66.7</v>
      </c>
      <c r="BJ33" s="183">
        <f t="shared" si="73"/>
        <v>78.099999999999994</v>
      </c>
      <c r="BK33" s="183">
        <f t="shared" si="73"/>
        <v>57.3</v>
      </c>
      <c r="BL33" s="183">
        <f t="shared" si="73"/>
        <v>39.1</v>
      </c>
      <c r="BM33" s="183">
        <f t="shared" si="73"/>
        <v>70.2</v>
      </c>
      <c r="BN33" s="183">
        <f t="shared" si="73"/>
        <v>62.7</v>
      </c>
      <c r="BO33" s="183">
        <f t="shared" si="73"/>
        <v>50</v>
      </c>
      <c r="BP33" s="183">
        <f t="shared" si="73"/>
        <v>73.3</v>
      </c>
      <c r="BQ33" s="183">
        <f t="shared" si="73"/>
        <v>67.7</v>
      </c>
      <c r="BR33" s="188">
        <f t="shared" si="73"/>
        <v>78.7</v>
      </c>
      <c r="BS33" s="183">
        <f t="shared" si="73"/>
        <v>64.490000000000009</v>
      </c>
      <c r="BT33" s="183">
        <f t="shared" si="73"/>
        <v>70.3</v>
      </c>
      <c r="BU33" s="183">
        <f t="shared" si="73"/>
        <v>74.8</v>
      </c>
      <c r="BV33" s="183">
        <f t="shared" si="73"/>
        <v>71.400000000000006</v>
      </c>
      <c r="BW33" s="183">
        <f t="shared" si="73"/>
        <v>74.489999999999995</v>
      </c>
      <c r="BX33" s="183">
        <f t="shared" si="73"/>
        <v>66.900000000000006</v>
      </c>
      <c r="BY33" s="183">
        <f t="shared" si="73"/>
        <v>74.599999999999994</v>
      </c>
      <c r="BZ33" s="183">
        <f t="shared" si="73"/>
        <v>59.4</v>
      </c>
      <c r="CA33" s="183">
        <f t="shared" si="73"/>
        <v>76.400000000000006</v>
      </c>
      <c r="CB33" s="188">
        <f t="shared" si="73"/>
        <v>75.489999999999995</v>
      </c>
      <c r="CC33" s="183">
        <f t="shared" si="73"/>
        <v>75.900000000000006</v>
      </c>
      <c r="CD33" s="183">
        <f t="shared" si="73"/>
        <v>77.3</v>
      </c>
      <c r="CE33" s="183">
        <f t="shared" si="73"/>
        <v>77.7</v>
      </c>
      <c r="CF33" s="183">
        <f t="shared" si="73"/>
        <v>51.7</v>
      </c>
      <c r="CG33" s="183">
        <f t="shared" si="73"/>
        <v>62.4</v>
      </c>
      <c r="CH33" s="183">
        <f t="shared" si="73"/>
        <v>52.7</v>
      </c>
      <c r="CI33" s="183">
        <f t="shared" si="73"/>
        <v>55.49</v>
      </c>
      <c r="CJ33" s="183">
        <f t="shared" si="73"/>
        <v>40.700000000000003</v>
      </c>
      <c r="CK33" s="184">
        <f t="shared" si="73"/>
        <v>70.8</v>
      </c>
      <c r="CL33" s="189">
        <f t="shared" si="73"/>
        <v>65.900000000000006</v>
      </c>
    </row>
    <row r="34" spans="1:90">
      <c r="A34" s="93">
        <f>ROWS($A$3:A32)</f>
        <v>30</v>
      </c>
      <c r="B34" s="67" t="s">
        <v>73</v>
      </c>
      <c r="C34" s="241"/>
      <c r="D34" s="321"/>
      <c r="E34" s="320"/>
      <c r="F34" s="156"/>
      <c r="G34" s="177"/>
      <c r="H34" s="177"/>
      <c r="I34" s="178"/>
      <c r="J34" s="181"/>
      <c r="K34" s="156"/>
      <c r="L34" s="177"/>
      <c r="M34" s="177"/>
      <c r="N34" s="177"/>
      <c r="O34" s="177"/>
      <c r="P34" s="177"/>
      <c r="Q34" s="177"/>
      <c r="R34" s="177"/>
      <c r="S34" s="177"/>
      <c r="T34" s="177"/>
      <c r="U34" s="179"/>
      <c r="V34" s="177"/>
      <c r="W34" s="177"/>
      <c r="X34" s="177"/>
      <c r="Y34" s="177"/>
      <c r="Z34" s="177"/>
      <c r="AA34" s="177"/>
      <c r="AB34" s="179"/>
      <c r="AC34" s="177"/>
      <c r="AD34" s="177"/>
      <c r="AE34" s="177"/>
      <c r="AF34" s="177"/>
      <c r="AG34" s="177"/>
      <c r="AH34" s="177"/>
      <c r="AI34" s="177"/>
      <c r="AJ34" s="177"/>
      <c r="AK34" s="179"/>
      <c r="AL34" s="177"/>
      <c r="AM34" s="177"/>
      <c r="AN34" s="177"/>
      <c r="AO34" s="177"/>
      <c r="AP34" s="177"/>
      <c r="AQ34" s="177"/>
      <c r="AR34" s="177"/>
      <c r="AS34" s="178"/>
      <c r="AT34" s="177"/>
      <c r="AU34" s="177"/>
      <c r="AV34" s="177"/>
      <c r="AW34" s="177"/>
      <c r="AX34" s="177"/>
      <c r="AY34" s="177"/>
      <c r="AZ34" s="177"/>
      <c r="BA34" s="177"/>
      <c r="BB34" s="177"/>
      <c r="BC34" s="177"/>
      <c r="BD34" s="177"/>
      <c r="BE34" s="177"/>
      <c r="BF34" s="179"/>
      <c r="BG34" s="177"/>
      <c r="BH34" s="177"/>
      <c r="BI34" s="177"/>
      <c r="BJ34" s="177"/>
      <c r="BK34" s="177"/>
      <c r="BL34" s="177"/>
      <c r="BM34" s="177"/>
      <c r="BN34" s="177"/>
      <c r="BO34" s="177"/>
      <c r="BP34" s="177"/>
      <c r="BQ34" s="177"/>
      <c r="BR34" s="179"/>
      <c r="BS34" s="177"/>
      <c r="BT34" s="177"/>
      <c r="BU34" s="177"/>
      <c r="BV34" s="177"/>
      <c r="BW34" s="177"/>
      <c r="BX34" s="177"/>
      <c r="BY34" s="177"/>
      <c r="BZ34" s="177"/>
      <c r="CA34" s="177"/>
      <c r="CB34" s="179"/>
      <c r="CC34" s="177"/>
      <c r="CD34" s="177"/>
      <c r="CE34" s="177"/>
      <c r="CF34" s="177"/>
      <c r="CG34" s="177"/>
      <c r="CH34" s="177"/>
      <c r="CI34" s="177"/>
      <c r="CJ34" s="177"/>
      <c r="CK34" s="178"/>
      <c r="CL34" s="180"/>
    </row>
    <row r="35" spans="1:90">
      <c r="A35" s="93">
        <f>ROWS($A$3:A33)</f>
        <v>31</v>
      </c>
      <c r="B35" s="106" t="s">
        <v>75</v>
      </c>
      <c r="C35" s="242">
        <v>2010</v>
      </c>
      <c r="D35" s="319" t="s">
        <v>1</v>
      </c>
      <c r="E35" s="322">
        <v>40865</v>
      </c>
      <c r="F35" s="156">
        <v>464514</v>
      </c>
      <c r="G35" s="177">
        <v>201368</v>
      </c>
      <c r="H35" s="177">
        <v>318269</v>
      </c>
      <c r="I35" s="178">
        <v>425837</v>
      </c>
      <c r="J35" s="181"/>
      <c r="K35" s="156">
        <f>BF35</f>
        <v>64654</v>
      </c>
      <c r="L35" s="177">
        <f>AY35</f>
        <v>25496</v>
      </c>
      <c r="M35" s="177">
        <f>BD35</f>
        <v>68046</v>
      </c>
      <c r="N35" s="177">
        <f>AW35</f>
        <v>28126</v>
      </c>
      <c r="O35" s="177">
        <f>BE35</f>
        <v>26190</v>
      </c>
      <c r="P35" s="177">
        <f>AZ35+BA35</f>
        <v>58077</v>
      </c>
      <c r="Q35" s="177">
        <f>'2010'!AU35</f>
        <v>22058</v>
      </c>
      <c r="R35" s="177">
        <f t="shared" ref="R35:R41" si="74">AT35+AX35</f>
        <v>34667</v>
      </c>
      <c r="S35" s="177">
        <f>AV35</f>
        <v>19633</v>
      </c>
      <c r="T35" s="177">
        <f t="shared" ref="T35:U39" si="75">BB35</f>
        <v>41225</v>
      </c>
      <c r="U35" s="179">
        <f t="shared" si="75"/>
        <v>76343</v>
      </c>
      <c r="V35" s="177">
        <f>BG35+BJ35</f>
        <v>16027</v>
      </c>
      <c r="W35" s="177">
        <f>BR35</f>
        <v>18914</v>
      </c>
      <c r="X35" s="177">
        <f>BH35+BI35</f>
        <v>39914</v>
      </c>
      <c r="Y35" s="177">
        <f>BK35+BL35+BN35</f>
        <v>42782</v>
      </c>
      <c r="Z35" s="177">
        <f>BM35</f>
        <v>46323</v>
      </c>
      <c r="AA35" s="177">
        <f>BO35+BQ35</f>
        <v>20156</v>
      </c>
      <c r="AB35" s="179">
        <f>BP35</f>
        <v>17252</v>
      </c>
      <c r="AC35" s="177">
        <f>BX35</f>
        <v>38829</v>
      </c>
      <c r="AD35" s="177">
        <f>BU35</f>
        <v>22305</v>
      </c>
      <c r="AE35" s="177">
        <f>BS35+BT35</f>
        <v>52144</v>
      </c>
      <c r="AF35" s="177">
        <f>CA35</f>
        <v>23148</v>
      </c>
      <c r="AG35" s="177">
        <f>BV35</f>
        <v>55500</v>
      </c>
      <c r="AH35" s="177">
        <f>BZ35</f>
        <v>33655</v>
      </c>
      <c r="AI35" s="177">
        <f>BW35</f>
        <v>30093</v>
      </c>
      <c r="AJ35" s="177">
        <f>BY35</f>
        <v>24250</v>
      </c>
      <c r="AK35" s="179">
        <f>CB35</f>
        <v>38344</v>
      </c>
      <c r="AL35" s="177">
        <f>CE35</f>
        <v>33916</v>
      </c>
      <c r="AM35" s="177">
        <f>CH35</f>
        <v>76332</v>
      </c>
      <c r="AN35" s="177">
        <f>CJ35</f>
        <v>86216</v>
      </c>
      <c r="AO35" s="177">
        <f t="shared" ref="AO35:AP39" si="76">CC35</f>
        <v>42679</v>
      </c>
      <c r="AP35" s="177">
        <f t="shared" si="76"/>
        <v>20093</v>
      </c>
      <c r="AQ35" s="177">
        <f>CK35</f>
        <v>54498</v>
      </c>
      <c r="AR35" s="177">
        <f>CI35</f>
        <v>33380</v>
      </c>
      <c r="AS35" s="178">
        <f>CF35+CG35</f>
        <v>78721</v>
      </c>
      <c r="AT35" s="181">
        <v>2501</v>
      </c>
      <c r="AU35" s="181">
        <v>22058</v>
      </c>
      <c r="AV35" s="181">
        <v>19633</v>
      </c>
      <c r="AW35" s="181">
        <v>28126</v>
      </c>
      <c r="AX35" s="181">
        <v>32166</v>
      </c>
      <c r="AY35" s="181">
        <v>25496</v>
      </c>
      <c r="AZ35" s="181">
        <v>4181</v>
      </c>
      <c r="BA35" s="181">
        <v>53896</v>
      </c>
      <c r="BB35" s="181">
        <v>41225</v>
      </c>
      <c r="BC35" s="181">
        <v>76343</v>
      </c>
      <c r="BD35" s="181">
        <v>68046</v>
      </c>
      <c r="BE35" s="181">
        <v>26190</v>
      </c>
      <c r="BF35" s="372">
        <v>64654</v>
      </c>
      <c r="BG35" s="181">
        <v>1517</v>
      </c>
      <c r="BH35" s="181">
        <v>2518</v>
      </c>
      <c r="BI35" s="181">
        <v>37396</v>
      </c>
      <c r="BJ35" s="181">
        <v>14510</v>
      </c>
      <c r="BK35" s="181">
        <v>1831</v>
      </c>
      <c r="BL35" s="181">
        <v>2854</v>
      </c>
      <c r="BM35" s="181">
        <v>46323</v>
      </c>
      <c r="BN35" s="181">
        <v>38097</v>
      </c>
      <c r="BO35" s="181">
        <v>1019</v>
      </c>
      <c r="BP35" s="181">
        <v>17252</v>
      </c>
      <c r="BQ35" s="181">
        <v>19137</v>
      </c>
      <c r="BR35" s="372">
        <v>18914</v>
      </c>
      <c r="BS35" s="181">
        <v>3446</v>
      </c>
      <c r="BT35" s="181">
        <v>48698</v>
      </c>
      <c r="BU35" s="181">
        <v>22305</v>
      </c>
      <c r="BV35" s="181">
        <v>55500</v>
      </c>
      <c r="BW35" s="181">
        <v>30093</v>
      </c>
      <c r="BX35" s="181">
        <v>38829</v>
      </c>
      <c r="BY35" s="181">
        <v>24250</v>
      </c>
      <c r="BZ35" s="181">
        <v>33655</v>
      </c>
      <c r="CA35" s="181">
        <v>23148</v>
      </c>
      <c r="CB35" s="372">
        <v>38344</v>
      </c>
      <c r="CC35" s="181">
        <v>42679</v>
      </c>
      <c r="CD35" s="181">
        <v>20093</v>
      </c>
      <c r="CE35" s="181">
        <v>33916</v>
      </c>
      <c r="CF35" s="181">
        <v>4694</v>
      </c>
      <c r="CG35" s="181">
        <v>74027</v>
      </c>
      <c r="CH35" s="181">
        <v>76332</v>
      </c>
      <c r="CI35" s="181">
        <v>33380</v>
      </c>
      <c r="CJ35" s="181">
        <v>86216</v>
      </c>
      <c r="CK35" s="373">
        <v>54498</v>
      </c>
      <c r="CL35" s="318">
        <v>1409988</v>
      </c>
    </row>
    <row r="36" spans="1:90">
      <c r="A36" s="93">
        <f>ROWS($A$3:A34)</f>
        <v>32</v>
      </c>
      <c r="B36" s="106" t="s">
        <v>76</v>
      </c>
      <c r="C36" s="243"/>
      <c r="D36" s="319" t="s">
        <v>1</v>
      </c>
      <c r="E36" s="322">
        <v>40865</v>
      </c>
      <c r="F36" s="156">
        <v>311698</v>
      </c>
      <c r="G36" s="177">
        <v>141235</v>
      </c>
      <c r="H36" s="177">
        <v>142389</v>
      </c>
      <c r="I36" s="178">
        <v>233949</v>
      </c>
      <c r="J36" s="181"/>
      <c r="K36" s="156">
        <f>BF36</f>
        <v>34721</v>
      </c>
      <c r="L36" s="177">
        <f>AY36</f>
        <v>11730</v>
      </c>
      <c r="M36" s="177">
        <f>BD36</f>
        <v>59094</v>
      </c>
      <c r="N36" s="177">
        <f>AW36</f>
        <v>12509</v>
      </c>
      <c r="O36" s="177">
        <f>BE36</f>
        <v>16900</v>
      </c>
      <c r="P36" s="177">
        <f>AZ36+BA36</f>
        <v>44169</v>
      </c>
      <c r="Q36" s="177">
        <f>'2010'!AU36</f>
        <v>15243</v>
      </c>
      <c r="R36" s="177">
        <f t="shared" si="74"/>
        <v>25995</v>
      </c>
      <c r="S36" s="177">
        <f>AV36</f>
        <v>10169</v>
      </c>
      <c r="T36" s="177">
        <f t="shared" si="75"/>
        <v>30557</v>
      </c>
      <c r="U36" s="179">
        <f t="shared" si="75"/>
        <v>50614</v>
      </c>
      <c r="V36" s="177">
        <f>BG36+BJ36</f>
        <v>10321</v>
      </c>
      <c r="W36" s="177">
        <f>BR36</f>
        <v>9490</v>
      </c>
      <c r="X36" s="177">
        <f>BH36+BI36</f>
        <v>31499</v>
      </c>
      <c r="Y36" s="177">
        <f>BK36+BL36+BN36</f>
        <v>34019</v>
      </c>
      <c r="Z36" s="177">
        <f>BM36</f>
        <v>35036</v>
      </c>
      <c r="AA36" s="177">
        <f>BO36+BQ36</f>
        <v>12420</v>
      </c>
      <c r="AB36" s="179">
        <f>BP36</f>
        <v>8451</v>
      </c>
      <c r="AC36" s="177">
        <f>BX36</f>
        <v>15862</v>
      </c>
      <c r="AD36" s="177">
        <f>BU36</f>
        <v>10287</v>
      </c>
      <c r="AE36" s="177">
        <f>BS36+BT36</f>
        <v>20874</v>
      </c>
      <c r="AF36" s="177">
        <f>CA36</f>
        <v>7269</v>
      </c>
      <c r="AG36" s="177">
        <f>BV36</f>
        <v>27684</v>
      </c>
      <c r="AH36" s="177">
        <f>BZ36</f>
        <v>19192</v>
      </c>
      <c r="AI36" s="177">
        <f>BW36</f>
        <v>16868</v>
      </c>
      <c r="AJ36" s="177">
        <f>BY36</f>
        <v>9020</v>
      </c>
      <c r="AK36" s="179">
        <f>CB36</f>
        <v>15333</v>
      </c>
      <c r="AL36" s="177">
        <f>CE36</f>
        <v>13101</v>
      </c>
      <c r="AM36" s="177">
        <f>CH36</f>
        <v>51921</v>
      </c>
      <c r="AN36" s="177">
        <f>CJ36</f>
        <v>26833</v>
      </c>
      <c r="AO36" s="177">
        <f t="shared" si="76"/>
        <v>20144</v>
      </c>
      <c r="AP36" s="177">
        <f t="shared" si="76"/>
        <v>13604</v>
      </c>
      <c r="AQ36" s="177">
        <f>CK36</f>
        <v>35032</v>
      </c>
      <c r="AR36" s="177">
        <f>CI36</f>
        <v>13924</v>
      </c>
      <c r="AS36" s="178">
        <f>CF36+CG36</f>
        <v>59389</v>
      </c>
      <c r="AT36" s="181">
        <v>1505</v>
      </c>
      <c r="AU36" s="181">
        <v>15243</v>
      </c>
      <c r="AV36" s="181">
        <v>10169</v>
      </c>
      <c r="AW36" s="181">
        <v>12509</v>
      </c>
      <c r="AX36" s="181">
        <v>24490</v>
      </c>
      <c r="AY36" s="181">
        <v>11730</v>
      </c>
      <c r="AZ36" s="181">
        <v>3228</v>
      </c>
      <c r="BA36" s="181">
        <v>40941</v>
      </c>
      <c r="BB36" s="181">
        <v>30557</v>
      </c>
      <c r="BC36" s="181">
        <v>50614</v>
      </c>
      <c r="BD36" s="181">
        <v>59094</v>
      </c>
      <c r="BE36" s="181">
        <v>16900</v>
      </c>
      <c r="BF36" s="372">
        <v>34721</v>
      </c>
      <c r="BG36" s="181">
        <v>574</v>
      </c>
      <c r="BH36" s="181">
        <v>1983</v>
      </c>
      <c r="BI36" s="181">
        <v>29516</v>
      </c>
      <c r="BJ36" s="181">
        <v>9747</v>
      </c>
      <c r="BK36" s="181">
        <v>1534</v>
      </c>
      <c r="BL36" s="181">
        <v>2446</v>
      </c>
      <c r="BM36" s="181">
        <v>35036</v>
      </c>
      <c r="BN36" s="181">
        <v>30039</v>
      </c>
      <c r="BO36" s="181">
        <v>530</v>
      </c>
      <c r="BP36" s="181">
        <v>8451</v>
      </c>
      <c r="BQ36" s="181">
        <v>11890</v>
      </c>
      <c r="BR36" s="372">
        <v>9490</v>
      </c>
      <c r="BS36" s="181">
        <v>1619</v>
      </c>
      <c r="BT36" s="181">
        <v>19255</v>
      </c>
      <c r="BU36" s="181">
        <v>10287</v>
      </c>
      <c r="BV36" s="181">
        <v>27684</v>
      </c>
      <c r="BW36" s="181">
        <v>16868</v>
      </c>
      <c r="BX36" s="181">
        <v>15862</v>
      </c>
      <c r="BY36" s="181">
        <v>9020</v>
      </c>
      <c r="BZ36" s="181">
        <v>19192</v>
      </c>
      <c r="CA36" s="181">
        <v>7269</v>
      </c>
      <c r="CB36" s="372">
        <v>15333</v>
      </c>
      <c r="CC36" s="181">
        <v>20144</v>
      </c>
      <c r="CD36" s="181">
        <v>13604</v>
      </c>
      <c r="CE36" s="181">
        <v>13101</v>
      </c>
      <c r="CF36" s="181">
        <v>4046</v>
      </c>
      <c r="CG36" s="181">
        <v>55343</v>
      </c>
      <c r="CH36" s="181">
        <v>51921</v>
      </c>
      <c r="CI36" s="181">
        <v>13924</v>
      </c>
      <c r="CJ36" s="181">
        <v>26833</v>
      </c>
      <c r="CK36" s="373">
        <v>35032</v>
      </c>
      <c r="CL36" s="318">
        <v>829272</v>
      </c>
    </row>
    <row r="37" spans="1:90">
      <c r="A37" s="93">
        <f>ROWS($A$3:A35)</f>
        <v>33</v>
      </c>
      <c r="B37" s="106" t="s">
        <v>7</v>
      </c>
      <c r="C37" s="243"/>
      <c r="D37" s="319" t="s">
        <v>1</v>
      </c>
      <c r="E37" s="322">
        <v>40865</v>
      </c>
      <c r="F37" s="156">
        <v>137597</v>
      </c>
      <c r="G37" s="177">
        <v>55922</v>
      </c>
      <c r="H37" s="177">
        <v>156404</v>
      </c>
      <c r="I37" s="178">
        <v>181770</v>
      </c>
      <c r="J37" s="181"/>
      <c r="K37" s="156">
        <f>BF37</f>
        <v>29497</v>
      </c>
      <c r="L37" s="177">
        <f>AY37</f>
        <v>12099</v>
      </c>
      <c r="M37" s="177">
        <f>BD37</f>
        <v>8022</v>
      </c>
      <c r="N37" s="177">
        <f>AW37</f>
        <v>15467</v>
      </c>
      <c r="O37" s="177">
        <f>BE37</f>
        <v>9260</v>
      </c>
      <c r="P37" s="177">
        <f>AZ37+BA37</f>
        <v>6934</v>
      </c>
      <c r="Q37" s="177">
        <f>'2010'!AU37</f>
        <v>6681</v>
      </c>
      <c r="R37" s="177">
        <f t="shared" si="74"/>
        <v>5997</v>
      </c>
      <c r="S37" s="177">
        <f>AV37</f>
        <v>9094</v>
      </c>
      <c r="T37" s="177">
        <f t="shared" si="75"/>
        <v>9049</v>
      </c>
      <c r="U37" s="179">
        <f t="shared" si="75"/>
        <v>25496</v>
      </c>
      <c r="V37" s="177">
        <f>BG37+BJ37</f>
        <v>4686</v>
      </c>
      <c r="W37" s="177">
        <f>BR37</f>
        <v>9409</v>
      </c>
      <c r="X37" s="177">
        <f>BH37+BI37</f>
        <v>7383</v>
      </c>
      <c r="Y37" s="177">
        <f>BK37+BL37+BN37</f>
        <v>7552</v>
      </c>
      <c r="Z37" s="177">
        <f>BM37</f>
        <v>10649</v>
      </c>
      <c r="AA37" s="177">
        <f>BO37+BQ37</f>
        <v>7491</v>
      </c>
      <c r="AB37" s="179">
        <f>BP37</f>
        <v>8752</v>
      </c>
      <c r="AC37" s="177">
        <f>BX37</f>
        <v>22942</v>
      </c>
      <c r="AD37" s="177">
        <f>BU37</f>
        <v>9545</v>
      </c>
      <c r="AE37" s="177">
        <f>BS37+BT37</f>
        <v>24439</v>
      </c>
      <c r="AF37" s="177">
        <f>CA37</f>
        <v>14435</v>
      </c>
      <c r="AG37" s="177">
        <f>BV37</f>
        <v>20564</v>
      </c>
      <c r="AH37" s="177">
        <f>BZ37</f>
        <v>13349</v>
      </c>
      <c r="AI37" s="177">
        <f>BW37</f>
        <v>13189</v>
      </c>
      <c r="AJ37" s="177">
        <f>BY37</f>
        <v>15208</v>
      </c>
      <c r="AK37" s="179">
        <f>CB37</f>
        <v>22734</v>
      </c>
      <c r="AL37" s="177">
        <f>CE37</f>
        <v>20667</v>
      </c>
      <c r="AM37" s="177">
        <f>CH37</f>
        <v>24245</v>
      </c>
      <c r="AN37" s="177">
        <f>CJ37</f>
        <v>57833</v>
      </c>
      <c r="AO37" s="177">
        <f t="shared" si="76"/>
        <v>22343</v>
      </c>
      <c r="AP37" s="177">
        <f t="shared" si="76"/>
        <v>6418</v>
      </c>
      <c r="AQ37" s="177">
        <f>CK37</f>
        <v>19369</v>
      </c>
      <c r="AR37" s="177">
        <f>CI37</f>
        <v>11723</v>
      </c>
      <c r="AS37" s="178">
        <f>CF37+CG37</f>
        <v>19170</v>
      </c>
      <c r="AT37" s="181">
        <v>535</v>
      </c>
      <c r="AU37" s="181">
        <v>6681</v>
      </c>
      <c r="AV37" s="181">
        <v>9094</v>
      </c>
      <c r="AW37" s="181">
        <v>15467</v>
      </c>
      <c r="AX37" s="181">
        <v>5462</v>
      </c>
      <c r="AY37" s="181">
        <v>12099</v>
      </c>
      <c r="AZ37" s="181">
        <v>211</v>
      </c>
      <c r="BA37" s="181">
        <v>6723</v>
      </c>
      <c r="BB37" s="181">
        <v>9049</v>
      </c>
      <c r="BC37" s="181">
        <v>25496</v>
      </c>
      <c r="BD37" s="181">
        <v>8022</v>
      </c>
      <c r="BE37" s="181">
        <v>9260</v>
      </c>
      <c r="BF37" s="372">
        <v>29497</v>
      </c>
      <c r="BG37" s="181">
        <v>682</v>
      </c>
      <c r="BH37" s="181">
        <v>453</v>
      </c>
      <c r="BI37" s="181">
        <v>6930</v>
      </c>
      <c r="BJ37" s="181">
        <v>4004</v>
      </c>
      <c r="BK37" s="181">
        <v>220</v>
      </c>
      <c r="BL37" s="181">
        <v>400</v>
      </c>
      <c r="BM37" s="181">
        <v>10649</v>
      </c>
      <c r="BN37" s="181">
        <v>6932</v>
      </c>
      <c r="BO37" s="181">
        <v>489</v>
      </c>
      <c r="BP37" s="181">
        <v>8752</v>
      </c>
      <c r="BQ37" s="181">
        <v>7002</v>
      </c>
      <c r="BR37" s="372">
        <v>9409</v>
      </c>
      <c r="BS37" s="181">
        <v>1036</v>
      </c>
      <c r="BT37" s="181">
        <v>23403</v>
      </c>
      <c r="BU37" s="181">
        <v>9545</v>
      </c>
      <c r="BV37" s="181">
        <v>20564</v>
      </c>
      <c r="BW37" s="181">
        <v>13189</v>
      </c>
      <c r="BX37" s="181">
        <v>22942</v>
      </c>
      <c r="BY37" s="181">
        <v>15208</v>
      </c>
      <c r="BZ37" s="181">
        <v>13349</v>
      </c>
      <c r="CA37" s="181">
        <v>14435</v>
      </c>
      <c r="CB37" s="372">
        <v>22734</v>
      </c>
      <c r="CC37" s="181">
        <v>22343</v>
      </c>
      <c r="CD37" s="181">
        <v>6418</v>
      </c>
      <c r="CE37" s="181">
        <v>20667</v>
      </c>
      <c r="CF37" s="181">
        <v>628</v>
      </c>
      <c r="CG37" s="181">
        <v>18542</v>
      </c>
      <c r="CH37" s="181">
        <v>24245</v>
      </c>
      <c r="CI37" s="181">
        <v>11723</v>
      </c>
      <c r="CJ37" s="181">
        <v>57833</v>
      </c>
      <c r="CK37" s="373">
        <v>19369</v>
      </c>
      <c r="CL37" s="318">
        <v>531692</v>
      </c>
    </row>
    <row r="38" spans="1:90">
      <c r="A38" s="93">
        <f>ROWS($A$3:A36)</f>
        <v>34</v>
      </c>
      <c r="B38" s="106" t="s">
        <v>263</v>
      </c>
      <c r="C38" s="243"/>
      <c r="D38" s="319" t="s">
        <v>1</v>
      </c>
      <c r="E38" s="322">
        <v>40865</v>
      </c>
      <c r="F38" s="156">
        <v>3429</v>
      </c>
      <c r="G38" s="177">
        <v>1255</v>
      </c>
      <c r="H38" s="177">
        <v>7541</v>
      </c>
      <c r="I38" s="178">
        <v>8842</v>
      </c>
      <c r="J38" s="181"/>
      <c r="K38" s="156">
        <f>BF38</f>
        <v>10</v>
      </c>
      <c r="L38" s="177">
        <f>AY38</f>
        <v>505</v>
      </c>
      <c r="M38" s="177">
        <f>BD38</f>
        <v>77</v>
      </c>
      <c r="N38" s="177">
        <f>AW38</f>
        <v>100</v>
      </c>
      <c r="O38" s="177">
        <f>BE38</f>
        <v>2</v>
      </c>
      <c r="P38" s="177">
        <f>AZ38+BA38</f>
        <v>1038</v>
      </c>
      <c r="Q38" s="177">
        <f>'2010'!AU38</f>
        <v>83</v>
      </c>
      <c r="R38" s="177">
        <f t="shared" si="74"/>
        <v>530</v>
      </c>
      <c r="S38" s="177">
        <f>AV38</f>
        <v>163</v>
      </c>
      <c r="T38" s="177">
        <f t="shared" si="75"/>
        <v>761</v>
      </c>
      <c r="U38" s="179">
        <f t="shared" si="75"/>
        <v>159</v>
      </c>
      <c r="V38" s="177">
        <f>BG38+BJ38</f>
        <v>448</v>
      </c>
      <c r="W38" s="177">
        <f>BR38</f>
        <v>2</v>
      </c>
      <c r="X38" s="177">
        <f>BH38+BI38</f>
        <v>231</v>
      </c>
      <c r="Y38" s="177">
        <f>BN38</f>
        <v>380</v>
      </c>
      <c r="Z38" s="177">
        <f>BM38</f>
        <v>133</v>
      </c>
      <c r="AA38" s="177">
        <f>BQ38</f>
        <v>31</v>
      </c>
      <c r="AB38" s="179" t="str">
        <f>BP38</f>
        <v>*</v>
      </c>
      <c r="AC38" s="177" t="str">
        <f>BX38</f>
        <v>*</v>
      </c>
      <c r="AD38" s="177">
        <f>BU38</f>
        <v>629</v>
      </c>
      <c r="AE38" s="177">
        <f>BS38+BT38</f>
        <v>889</v>
      </c>
      <c r="AF38" s="177">
        <f>CA38</f>
        <v>646</v>
      </c>
      <c r="AG38" s="177">
        <f>BV38</f>
        <v>4231</v>
      </c>
      <c r="AH38" s="177">
        <f>BZ38</f>
        <v>971</v>
      </c>
      <c r="AI38" s="177" t="str">
        <f>BW38</f>
        <v>*</v>
      </c>
      <c r="AJ38" s="177" t="str">
        <f>BY38</f>
        <v>*</v>
      </c>
      <c r="AK38" s="179">
        <f>CB38</f>
        <v>155</v>
      </c>
      <c r="AL38" s="177">
        <f>CE38</f>
        <v>10</v>
      </c>
      <c r="AM38" s="177">
        <f>CH38</f>
        <v>40</v>
      </c>
      <c r="AN38" s="177">
        <f>CJ38</f>
        <v>1365</v>
      </c>
      <c r="AO38" s="177">
        <f t="shared" si="76"/>
        <v>101</v>
      </c>
      <c r="AP38" s="177">
        <f t="shared" si="76"/>
        <v>52</v>
      </c>
      <c r="AQ38" s="177">
        <f>CK38</f>
        <v>29</v>
      </c>
      <c r="AR38" s="177">
        <f>CI38</f>
        <v>7179</v>
      </c>
      <c r="AS38" s="178">
        <f>CF38+CG38</f>
        <v>67</v>
      </c>
      <c r="AT38" s="181">
        <v>76</v>
      </c>
      <c r="AU38" s="181">
        <v>83</v>
      </c>
      <c r="AV38" s="181">
        <v>163</v>
      </c>
      <c r="AW38" s="181">
        <v>100</v>
      </c>
      <c r="AX38" s="181">
        <v>454</v>
      </c>
      <c r="AY38" s="181">
        <v>505</v>
      </c>
      <c r="AZ38" s="181">
        <v>59</v>
      </c>
      <c r="BA38" s="181">
        <v>979</v>
      </c>
      <c r="BB38" s="181">
        <v>761</v>
      </c>
      <c r="BC38" s="181">
        <v>159</v>
      </c>
      <c r="BD38" s="181">
        <v>77</v>
      </c>
      <c r="BE38" s="181">
        <v>2</v>
      </c>
      <c r="BF38" s="372">
        <v>10</v>
      </c>
      <c r="BG38" s="181">
        <v>40</v>
      </c>
      <c r="BH38" s="181">
        <v>54</v>
      </c>
      <c r="BI38" s="181">
        <v>177</v>
      </c>
      <c r="BJ38" s="181">
        <v>408</v>
      </c>
      <c r="BK38" s="181" t="s">
        <v>252</v>
      </c>
      <c r="BL38" s="181" t="s">
        <v>252</v>
      </c>
      <c r="BM38" s="181">
        <v>133</v>
      </c>
      <c r="BN38" s="181">
        <v>380</v>
      </c>
      <c r="BO38" s="181" t="s">
        <v>252</v>
      </c>
      <c r="BP38" s="181" t="s">
        <v>252</v>
      </c>
      <c r="BQ38" s="181">
        <v>31</v>
      </c>
      <c r="BR38" s="372">
        <v>2</v>
      </c>
      <c r="BS38" s="181">
        <v>76</v>
      </c>
      <c r="BT38" s="181">
        <v>813</v>
      </c>
      <c r="BU38" s="181">
        <v>629</v>
      </c>
      <c r="BV38" s="181">
        <v>4231</v>
      </c>
      <c r="BW38" s="181" t="s">
        <v>252</v>
      </c>
      <c r="BX38" s="181" t="s">
        <v>252</v>
      </c>
      <c r="BY38" s="181" t="s">
        <v>252</v>
      </c>
      <c r="BZ38" s="181">
        <v>971</v>
      </c>
      <c r="CA38" s="181">
        <v>646</v>
      </c>
      <c r="CB38" s="372">
        <v>155</v>
      </c>
      <c r="CC38" s="181">
        <v>101</v>
      </c>
      <c r="CD38" s="181">
        <v>52</v>
      </c>
      <c r="CE38" s="181">
        <v>10</v>
      </c>
      <c r="CF38" s="181">
        <v>7</v>
      </c>
      <c r="CG38" s="181">
        <v>60</v>
      </c>
      <c r="CH38" s="181">
        <v>40</v>
      </c>
      <c r="CI38" s="181">
        <v>7179</v>
      </c>
      <c r="CJ38" s="181">
        <v>1365</v>
      </c>
      <c r="CK38" s="373">
        <v>29</v>
      </c>
      <c r="CL38" s="318">
        <v>21067</v>
      </c>
    </row>
    <row r="39" spans="1:90">
      <c r="A39" s="93">
        <f>ROWS($A$3:A37)</f>
        <v>35</v>
      </c>
      <c r="B39" s="106" t="s">
        <v>264</v>
      </c>
      <c r="C39" s="243"/>
      <c r="D39" s="319" t="s">
        <v>1</v>
      </c>
      <c r="E39" s="322">
        <v>40865</v>
      </c>
      <c r="F39" s="156">
        <v>10197</v>
      </c>
      <c r="G39" s="177">
        <v>2082</v>
      </c>
      <c r="H39" s="177">
        <v>10885</v>
      </c>
      <c r="I39" s="178">
        <v>519</v>
      </c>
      <c r="J39" s="181"/>
      <c r="K39" s="156" t="str">
        <f>BF39</f>
        <v>-</v>
      </c>
      <c r="L39" s="177">
        <f>AY39</f>
        <v>1046</v>
      </c>
      <c r="M39" s="177">
        <f>BD39</f>
        <v>714</v>
      </c>
      <c r="N39" s="177" t="str">
        <f>AW39</f>
        <v>*</v>
      </c>
      <c r="O39" s="177" t="str">
        <f>BE39</f>
        <v>-</v>
      </c>
      <c r="P39" s="177">
        <f>AZ39+BA39</f>
        <v>5606</v>
      </c>
      <c r="Q39" s="177" t="str">
        <f>'2010'!AU39</f>
        <v>*</v>
      </c>
      <c r="R39" s="177">
        <f t="shared" si="74"/>
        <v>1963</v>
      </c>
      <c r="S39" s="177">
        <f>AV39</f>
        <v>115</v>
      </c>
      <c r="T39" s="177">
        <f t="shared" si="75"/>
        <v>751</v>
      </c>
      <c r="U39" s="179" t="str">
        <f t="shared" si="75"/>
        <v>*</v>
      </c>
      <c r="V39" s="177">
        <f>BG39+BJ39</f>
        <v>506</v>
      </c>
      <c r="W39" s="177" t="str">
        <f>BR39</f>
        <v>*</v>
      </c>
      <c r="X39" s="177">
        <f>BI39</f>
        <v>714</v>
      </c>
      <c r="Y39" s="177">
        <f>BK39+BL39+BN39</f>
        <v>661</v>
      </c>
      <c r="Z39" s="177" t="str">
        <f>BM39</f>
        <v>*</v>
      </c>
      <c r="AA39" s="177">
        <f>BO39+BQ39</f>
        <v>188</v>
      </c>
      <c r="AB39" s="179">
        <f>BP39</f>
        <v>0</v>
      </c>
      <c r="AC39" s="177" t="str">
        <f>BX39</f>
        <v>–</v>
      </c>
      <c r="AD39" s="177">
        <f>BU39</f>
        <v>1705</v>
      </c>
      <c r="AE39" s="177">
        <f>BS39+BT39</f>
        <v>5845</v>
      </c>
      <c r="AF39" s="177">
        <f>CA39</f>
        <v>739</v>
      </c>
      <c r="AG39" s="177">
        <f>BV39</f>
        <v>2479</v>
      </c>
      <c r="AH39" s="177" t="str">
        <f>BZ39</f>
        <v>*</v>
      </c>
      <c r="AI39" s="177" t="str">
        <f>BW39</f>
        <v>–</v>
      </c>
      <c r="AJ39" s="177" t="str">
        <f>BY39</f>
        <v>*</v>
      </c>
      <c r="AK39" s="179">
        <f>CB39</f>
        <v>56</v>
      </c>
      <c r="AL39" s="177" t="str">
        <f>CE39</f>
        <v>*</v>
      </c>
      <c r="AM39" s="177" t="str">
        <f>CH39</f>
        <v>*</v>
      </c>
      <c r="AN39" s="177" t="str">
        <f>CJ39</f>
        <v>*</v>
      </c>
      <c r="AO39" s="177">
        <f t="shared" si="76"/>
        <v>16</v>
      </c>
      <c r="AP39" s="177">
        <f t="shared" si="76"/>
        <v>9</v>
      </c>
      <c r="AQ39" s="177" t="str">
        <f>CK39</f>
        <v>*</v>
      </c>
      <c r="AR39" s="177">
        <f>CI39</f>
        <v>492</v>
      </c>
      <c r="AS39" s="178" t="str">
        <f>CG39</f>
        <v>*</v>
      </c>
      <c r="AT39" s="181">
        <v>354</v>
      </c>
      <c r="AU39" s="181" t="s">
        <v>252</v>
      </c>
      <c r="AV39" s="181">
        <v>115</v>
      </c>
      <c r="AW39" s="181" t="s">
        <v>252</v>
      </c>
      <c r="AX39" s="181">
        <v>1609</v>
      </c>
      <c r="AY39" s="181">
        <v>1046</v>
      </c>
      <c r="AZ39" s="181">
        <v>634</v>
      </c>
      <c r="BA39" s="181">
        <v>4972</v>
      </c>
      <c r="BB39" s="181">
        <v>751</v>
      </c>
      <c r="BC39" s="181" t="s">
        <v>252</v>
      </c>
      <c r="BD39" s="181">
        <v>714</v>
      </c>
      <c r="BE39" s="181" t="s">
        <v>61</v>
      </c>
      <c r="BF39" s="372" t="s">
        <v>61</v>
      </c>
      <c r="BG39" s="181">
        <v>187</v>
      </c>
      <c r="BH39" s="181" t="s">
        <v>252</v>
      </c>
      <c r="BI39" s="181">
        <v>714</v>
      </c>
      <c r="BJ39" s="181">
        <v>319</v>
      </c>
      <c r="BK39" s="181">
        <v>50</v>
      </c>
      <c r="BL39" s="181">
        <v>0</v>
      </c>
      <c r="BM39" s="181" t="s">
        <v>252</v>
      </c>
      <c r="BN39" s="181">
        <v>611</v>
      </c>
      <c r="BO39" s="181">
        <v>0</v>
      </c>
      <c r="BP39" s="181">
        <v>0</v>
      </c>
      <c r="BQ39" s="181">
        <v>188</v>
      </c>
      <c r="BR39" s="372" t="s">
        <v>252</v>
      </c>
      <c r="BS39" s="181">
        <v>703</v>
      </c>
      <c r="BT39" s="181">
        <v>5142</v>
      </c>
      <c r="BU39" s="181">
        <v>1705</v>
      </c>
      <c r="BV39" s="181">
        <v>2479</v>
      </c>
      <c r="BW39" s="181" t="s">
        <v>42</v>
      </c>
      <c r="BX39" s="181" t="s">
        <v>42</v>
      </c>
      <c r="BY39" s="181" t="s">
        <v>252</v>
      </c>
      <c r="BZ39" s="181" t="s">
        <v>252</v>
      </c>
      <c r="CA39" s="181">
        <v>739</v>
      </c>
      <c r="CB39" s="372">
        <v>56</v>
      </c>
      <c r="CC39" s="181">
        <v>16</v>
      </c>
      <c r="CD39" s="181">
        <v>9</v>
      </c>
      <c r="CE39" s="181" t="s">
        <v>252</v>
      </c>
      <c r="CF39" s="181">
        <v>0</v>
      </c>
      <c r="CG39" s="181" t="s">
        <v>252</v>
      </c>
      <c r="CH39" s="181" t="s">
        <v>252</v>
      </c>
      <c r="CI39" s="181">
        <v>492</v>
      </c>
      <c r="CJ39" s="181" t="s">
        <v>252</v>
      </c>
      <c r="CK39" s="373" t="s">
        <v>252</v>
      </c>
      <c r="CL39" s="318">
        <v>23682</v>
      </c>
    </row>
    <row r="40" spans="1:90">
      <c r="A40" s="93">
        <f>ROWS($A$3:A38)</f>
        <v>36</v>
      </c>
      <c r="B40" s="67" t="s">
        <v>109</v>
      </c>
      <c r="C40" s="243"/>
      <c r="D40" s="319"/>
      <c r="E40" s="320"/>
      <c r="F40" s="156"/>
      <c r="G40" s="177"/>
      <c r="H40" s="177"/>
      <c r="I40" s="178"/>
      <c r="J40" s="181"/>
      <c r="K40" s="156"/>
      <c r="L40" s="177"/>
      <c r="M40" s="177"/>
      <c r="N40" s="177"/>
      <c r="O40" s="177"/>
      <c r="P40" s="177"/>
      <c r="Q40" s="177"/>
      <c r="R40" s="177"/>
      <c r="S40" s="177"/>
      <c r="T40" s="177"/>
      <c r="U40" s="179"/>
      <c r="V40" s="177"/>
      <c r="W40" s="177"/>
      <c r="X40" s="177"/>
      <c r="Y40" s="177"/>
      <c r="Z40" s="177"/>
      <c r="AA40" s="177"/>
      <c r="AB40" s="179"/>
      <c r="AC40" s="177"/>
      <c r="AD40" s="177"/>
      <c r="AE40" s="177"/>
      <c r="AF40" s="177"/>
      <c r="AG40" s="177"/>
      <c r="AH40" s="177"/>
      <c r="AI40" s="177"/>
      <c r="AJ40" s="177"/>
      <c r="AK40" s="179"/>
      <c r="AL40" s="177"/>
      <c r="AM40" s="177"/>
      <c r="AN40" s="177"/>
      <c r="AO40" s="177"/>
      <c r="AP40" s="177"/>
      <c r="AQ40" s="177"/>
      <c r="AR40" s="177"/>
      <c r="AS40" s="178"/>
      <c r="AT40" s="177"/>
      <c r="AU40" s="177"/>
      <c r="AV40" s="177"/>
      <c r="AW40" s="177"/>
      <c r="AX40" s="177"/>
      <c r="AY40" s="177"/>
      <c r="AZ40" s="177"/>
      <c r="BA40" s="177"/>
      <c r="BB40" s="177"/>
      <c r="BC40" s="177"/>
      <c r="BD40" s="177"/>
      <c r="BE40" s="177"/>
      <c r="BF40" s="179"/>
      <c r="BG40" s="177"/>
      <c r="BH40" s="177"/>
      <c r="BI40" s="177"/>
      <c r="BJ40" s="177"/>
      <c r="BK40" s="177"/>
      <c r="BL40" s="177"/>
      <c r="BM40" s="177"/>
      <c r="BN40" s="177"/>
      <c r="BO40" s="177"/>
      <c r="BP40" s="177"/>
      <c r="BQ40" s="177"/>
      <c r="BR40" s="179"/>
      <c r="BS40" s="177"/>
      <c r="BT40" s="177"/>
      <c r="BU40" s="177"/>
      <c r="BV40" s="177"/>
      <c r="BW40" s="177"/>
      <c r="BX40" s="177"/>
      <c r="BY40" s="177"/>
      <c r="BZ40" s="177"/>
      <c r="CA40" s="177"/>
      <c r="CB40" s="179"/>
      <c r="CC40" s="177"/>
      <c r="CD40" s="177"/>
      <c r="CE40" s="177"/>
      <c r="CF40" s="177"/>
      <c r="CG40" s="177"/>
      <c r="CH40" s="177"/>
      <c r="CI40" s="177"/>
      <c r="CJ40" s="177"/>
      <c r="CK40" s="178"/>
      <c r="CL40" s="180"/>
    </row>
    <row r="41" spans="1:90">
      <c r="A41" s="93">
        <f>ROWS($A$3:A39)</f>
        <v>37</v>
      </c>
      <c r="B41" s="106" t="s">
        <v>78</v>
      </c>
      <c r="C41" s="242">
        <v>2010</v>
      </c>
      <c r="D41" s="319" t="s">
        <v>8</v>
      </c>
      <c r="E41" s="322">
        <v>40865</v>
      </c>
      <c r="F41" s="377">
        <v>306226</v>
      </c>
      <c r="G41" s="181">
        <v>81113</v>
      </c>
      <c r="H41" s="181">
        <v>219647</v>
      </c>
      <c r="I41" s="373">
        <v>408000</v>
      </c>
      <c r="J41" s="181"/>
      <c r="K41" s="156">
        <f t="shared" ref="K41:K54" si="77">BF41</f>
        <v>74901</v>
      </c>
      <c r="L41" s="177">
        <f t="shared" ref="L41:L54" si="78">AY41</f>
        <v>21211</v>
      </c>
      <c r="M41" s="177">
        <f t="shared" ref="M41:M54" si="79">BD41</f>
        <v>20528</v>
      </c>
      <c r="N41" s="177">
        <f t="shared" ref="N41:N54" si="80">AW41</f>
        <v>30701</v>
      </c>
      <c r="O41" s="177">
        <f t="shared" ref="O41:O54" si="81">BE41</f>
        <v>23134</v>
      </c>
      <c r="P41" s="177">
        <f>AZ41+BA41</f>
        <v>13312</v>
      </c>
      <c r="Q41" s="177">
        <f>'2010'!AU41</f>
        <v>9176</v>
      </c>
      <c r="R41" s="177">
        <f t="shared" si="74"/>
        <v>14147</v>
      </c>
      <c r="S41" s="177">
        <f t="shared" ref="S41:S54" si="82">AV41</f>
        <v>9465</v>
      </c>
      <c r="T41" s="177">
        <f t="shared" ref="T41:T54" si="83">BB41</f>
        <v>22985</v>
      </c>
      <c r="U41" s="179">
        <f t="shared" ref="U41:U54" si="84">BC41</f>
        <v>66666</v>
      </c>
      <c r="V41" s="177">
        <f>BG41+BJ41</f>
        <v>2671</v>
      </c>
      <c r="W41" s="177">
        <f t="shared" ref="W41:W54" si="85">BR41</f>
        <v>12582</v>
      </c>
      <c r="X41" s="177">
        <f>BH41+BI41</f>
        <v>5789</v>
      </c>
      <c r="Y41" s="177">
        <f>BK41+BL41+BN41</f>
        <v>13038</v>
      </c>
      <c r="Z41" s="177">
        <f t="shared" ref="Z41:Z54" si="86">BM41</f>
        <v>24361</v>
      </c>
      <c r="AA41" s="177">
        <f>BO41+BQ41</f>
        <v>10501</v>
      </c>
      <c r="AB41" s="179">
        <f t="shared" ref="AB41:AB54" si="87">BP41</f>
        <v>12171</v>
      </c>
      <c r="AC41" s="177">
        <f t="shared" ref="AC41:AC54" si="88">BX41</f>
        <v>32488</v>
      </c>
      <c r="AD41" s="177">
        <f t="shared" ref="AD41:AD54" si="89">BU41</f>
        <v>14922</v>
      </c>
      <c r="AE41" s="177">
        <f>BS41+BT41</f>
        <v>29503</v>
      </c>
      <c r="AF41" s="177">
        <f t="shared" ref="AF41:AF54" si="90">CA41</f>
        <v>15660</v>
      </c>
      <c r="AG41" s="177">
        <f t="shared" ref="AG41:AG54" si="91">BV41</f>
        <v>30847</v>
      </c>
      <c r="AH41" s="177">
        <f t="shared" ref="AH41:AH54" si="92">BZ41</f>
        <v>25426</v>
      </c>
      <c r="AI41" s="177">
        <f t="shared" ref="AI41:AI54" si="93">BW41</f>
        <v>18677</v>
      </c>
      <c r="AJ41" s="177">
        <f t="shared" ref="AJ41:AJ54" si="94">BY41</f>
        <v>16473</v>
      </c>
      <c r="AK41" s="179">
        <f t="shared" ref="AK41:AK54" si="95">CB41</f>
        <v>35651</v>
      </c>
      <c r="AL41" s="177">
        <f t="shared" ref="AL41:AL54" si="96">CE41</f>
        <v>14073</v>
      </c>
      <c r="AM41" s="177">
        <f t="shared" ref="AM41:AM54" si="97">CH41</f>
        <v>92903</v>
      </c>
      <c r="AN41" s="177">
        <f t="shared" ref="AN41:AN54" si="98">CJ41</f>
        <v>147411</v>
      </c>
      <c r="AO41" s="177">
        <f t="shared" ref="AO41:AO54" si="99">CC41</f>
        <v>29721</v>
      </c>
      <c r="AP41" s="177">
        <f t="shared" ref="AP41:AP54" si="100">CD41</f>
        <v>6400</v>
      </c>
      <c r="AQ41" s="177">
        <f t="shared" ref="AQ41:AQ54" si="101">CK41</f>
        <v>37412</v>
      </c>
      <c r="AR41" s="177">
        <f t="shared" ref="AR41:AR54" si="102">CI41</f>
        <v>25374</v>
      </c>
      <c r="AS41" s="178">
        <f>CF41+CG41</f>
        <v>54706</v>
      </c>
      <c r="AT41" s="348">
        <v>921</v>
      </c>
      <c r="AU41" s="348">
        <v>9176</v>
      </c>
      <c r="AV41" s="348">
        <v>9465</v>
      </c>
      <c r="AW41" s="348">
        <v>30701</v>
      </c>
      <c r="AX41" s="348">
        <v>13226</v>
      </c>
      <c r="AY41" s="348">
        <v>21211</v>
      </c>
      <c r="AZ41" s="348">
        <v>128</v>
      </c>
      <c r="BA41" s="348">
        <v>13184</v>
      </c>
      <c r="BB41" s="348">
        <v>22985</v>
      </c>
      <c r="BC41" s="348">
        <v>66666</v>
      </c>
      <c r="BD41" s="348">
        <v>20528</v>
      </c>
      <c r="BE41" s="348">
        <v>23134</v>
      </c>
      <c r="BF41" s="374">
        <v>74901</v>
      </c>
      <c r="BG41" s="348">
        <v>206</v>
      </c>
      <c r="BH41" s="348">
        <v>292</v>
      </c>
      <c r="BI41" s="348">
        <v>5497</v>
      </c>
      <c r="BJ41" s="348">
        <v>2465</v>
      </c>
      <c r="BK41" s="348">
        <v>515</v>
      </c>
      <c r="BL41" s="348">
        <v>76</v>
      </c>
      <c r="BM41" s="348">
        <v>24361</v>
      </c>
      <c r="BN41" s="348">
        <v>12447</v>
      </c>
      <c r="BO41" s="348">
        <v>226</v>
      </c>
      <c r="BP41" s="348">
        <v>12171</v>
      </c>
      <c r="BQ41" s="348">
        <v>10275</v>
      </c>
      <c r="BR41" s="374">
        <v>12582</v>
      </c>
      <c r="BS41" s="348">
        <v>524</v>
      </c>
      <c r="BT41" s="348">
        <v>28979</v>
      </c>
      <c r="BU41" s="348">
        <v>14922</v>
      </c>
      <c r="BV41" s="348">
        <v>30847</v>
      </c>
      <c r="BW41" s="348">
        <v>18677</v>
      </c>
      <c r="BX41" s="348">
        <v>32488</v>
      </c>
      <c r="BY41" s="348">
        <v>16473</v>
      </c>
      <c r="BZ41" s="348">
        <v>25426</v>
      </c>
      <c r="CA41" s="348">
        <v>15660</v>
      </c>
      <c r="CB41" s="374">
        <v>35651</v>
      </c>
      <c r="CC41" s="348">
        <v>29721</v>
      </c>
      <c r="CD41" s="348">
        <v>6400</v>
      </c>
      <c r="CE41" s="348">
        <v>14073</v>
      </c>
      <c r="CF41" s="348">
        <v>2036</v>
      </c>
      <c r="CG41" s="348">
        <v>52670</v>
      </c>
      <c r="CH41" s="348">
        <v>92903</v>
      </c>
      <c r="CI41" s="348">
        <v>25374</v>
      </c>
      <c r="CJ41" s="348">
        <v>147411</v>
      </c>
      <c r="CK41" s="375">
        <v>37412</v>
      </c>
      <c r="CL41" s="376">
        <v>1014986</v>
      </c>
    </row>
    <row r="42" spans="1:90">
      <c r="A42" s="93">
        <f>ROWS($A$3:A40)</f>
        <v>38</v>
      </c>
      <c r="B42" s="106" t="s">
        <v>15</v>
      </c>
      <c r="C42" s="243"/>
      <c r="D42" s="319" t="s">
        <v>8</v>
      </c>
      <c r="E42" s="322">
        <v>40865</v>
      </c>
      <c r="F42" s="377">
        <v>101650</v>
      </c>
      <c r="G42" s="181">
        <v>22877</v>
      </c>
      <c r="H42" s="181">
        <v>68005</v>
      </c>
      <c r="I42" s="373">
        <v>161183</v>
      </c>
      <c r="J42" s="181"/>
      <c r="K42" s="156">
        <f t="shared" si="77"/>
        <v>25104</v>
      </c>
      <c r="L42" s="177">
        <f t="shared" si="78"/>
        <v>6718</v>
      </c>
      <c r="M42" s="177">
        <f t="shared" si="79"/>
        <v>6932</v>
      </c>
      <c r="N42" s="177">
        <f t="shared" si="80"/>
        <v>10603</v>
      </c>
      <c r="O42" s="177">
        <f t="shared" si="81"/>
        <v>7912</v>
      </c>
      <c r="P42" s="177">
        <f>BA42</f>
        <v>4378</v>
      </c>
      <c r="Q42" s="177">
        <f>'2010'!AU42</f>
        <v>3178</v>
      </c>
      <c r="R42" s="177">
        <f>AX42</f>
        <v>4344</v>
      </c>
      <c r="S42" s="177">
        <f t="shared" si="82"/>
        <v>2502</v>
      </c>
      <c r="T42" s="177">
        <f t="shared" si="83"/>
        <v>7569</v>
      </c>
      <c r="U42" s="179">
        <f t="shared" si="84"/>
        <v>21941</v>
      </c>
      <c r="V42" s="177">
        <f>BJ42</f>
        <v>380</v>
      </c>
      <c r="W42" s="177">
        <f t="shared" si="85"/>
        <v>3774</v>
      </c>
      <c r="X42" s="177">
        <f>BI42</f>
        <v>1202</v>
      </c>
      <c r="Y42" s="177">
        <f>BN42</f>
        <v>3371</v>
      </c>
      <c r="Z42" s="177">
        <f t="shared" si="86"/>
        <v>7534</v>
      </c>
      <c r="AA42" s="177">
        <f>BQ42</f>
        <v>2881</v>
      </c>
      <c r="AB42" s="179">
        <f t="shared" si="87"/>
        <v>3499</v>
      </c>
      <c r="AC42" s="177">
        <f t="shared" si="88"/>
        <v>12455</v>
      </c>
      <c r="AD42" s="177">
        <f t="shared" si="89"/>
        <v>3583</v>
      </c>
      <c r="AE42" s="177">
        <f>BS42+BT42</f>
        <v>10349</v>
      </c>
      <c r="AF42" s="177">
        <f t="shared" si="90"/>
        <v>3769</v>
      </c>
      <c r="AG42" s="177">
        <f t="shared" si="91"/>
        <v>8168</v>
      </c>
      <c r="AH42" s="177">
        <f t="shared" si="92"/>
        <v>8828</v>
      </c>
      <c r="AI42" s="177">
        <f t="shared" si="93"/>
        <v>5097</v>
      </c>
      <c r="AJ42" s="177">
        <f t="shared" si="94"/>
        <v>5405</v>
      </c>
      <c r="AK42" s="179">
        <f t="shared" si="95"/>
        <v>10351</v>
      </c>
      <c r="AL42" s="177">
        <f t="shared" si="96"/>
        <v>3430</v>
      </c>
      <c r="AM42" s="177">
        <f t="shared" si="97"/>
        <v>35289</v>
      </c>
      <c r="AN42" s="177">
        <f t="shared" si="98"/>
        <v>69996</v>
      </c>
      <c r="AO42" s="177">
        <f t="shared" si="99"/>
        <v>8194</v>
      </c>
      <c r="AP42" s="177">
        <f t="shared" si="100"/>
        <v>1601</v>
      </c>
      <c r="AQ42" s="177">
        <f t="shared" si="101"/>
        <v>12854</v>
      </c>
      <c r="AR42" s="177">
        <f t="shared" si="102"/>
        <v>10539</v>
      </c>
      <c r="AS42" s="178">
        <f>CF42+CG42</f>
        <v>19280</v>
      </c>
      <c r="AT42" s="348" t="s">
        <v>252</v>
      </c>
      <c r="AU42" s="348">
        <v>3178</v>
      </c>
      <c r="AV42" s="348">
        <v>2502</v>
      </c>
      <c r="AW42" s="348">
        <v>10603</v>
      </c>
      <c r="AX42" s="348">
        <v>4344</v>
      </c>
      <c r="AY42" s="348">
        <v>6718</v>
      </c>
      <c r="AZ42" s="348" t="s">
        <v>252</v>
      </c>
      <c r="BA42" s="348">
        <v>4378</v>
      </c>
      <c r="BB42" s="348">
        <v>7569</v>
      </c>
      <c r="BC42" s="348">
        <v>21941</v>
      </c>
      <c r="BD42" s="348">
        <v>6932</v>
      </c>
      <c r="BE42" s="348">
        <v>7912</v>
      </c>
      <c r="BF42" s="374">
        <v>25104</v>
      </c>
      <c r="BG42" s="348">
        <v>0</v>
      </c>
      <c r="BH42" s="348" t="s">
        <v>252</v>
      </c>
      <c r="BI42" s="348">
        <v>1202</v>
      </c>
      <c r="BJ42" s="348">
        <v>380</v>
      </c>
      <c r="BK42" s="348" t="s">
        <v>252</v>
      </c>
      <c r="BL42" s="348" t="s">
        <v>252</v>
      </c>
      <c r="BM42" s="348">
        <v>7534</v>
      </c>
      <c r="BN42" s="348">
        <v>3371</v>
      </c>
      <c r="BO42" s="348" t="s">
        <v>252</v>
      </c>
      <c r="BP42" s="348">
        <v>3499</v>
      </c>
      <c r="BQ42" s="348">
        <v>2881</v>
      </c>
      <c r="BR42" s="374">
        <v>3774</v>
      </c>
      <c r="BS42" s="348">
        <v>93</v>
      </c>
      <c r="BT42" s="348">
        <v>10256</v>
      </c>
      <c r="BU42" s="348">
        <v>3583</v>
      </c>
      <c r="BV42" s="348">
        <v>8168</v>
      </c>
      <c r="BW42" s="348">
        <v>5097</v>
      </c>
      <c r="BX42" s="348">
        <v>12455</v>
      </c>
      <c r="BY42" s="348">
        <v>5405</v>
      </c>
      <c r="BZ42" s="348">
        <v>8828</v>
      </c>
      <c r="CA42" s="348">
        <v>3769</v>
      </c>
      <c r="CB42" s="374">
        <v>10351</v>
      </c>
      <c r="CC42" s="348">
        <v>8194</v>
      </c>
      <c r="CD42" s="348">
        <v>1601</v>
      </c>
      <c r="CE42" s="348">
        <v>3430</v>
      </c>
      <c r="CF42" s="348">
        <v>827</v>
      </c>
      <c r="CG42" s="348">
        <v>18453</v>
      </c>
      <c r="CH42" s="348">
        <v>35289</v>
      </c>
      <c r="CI42" s="348">
        <v>10539</v>
      </c>
      <c r="CJ42" s="348">
        <v>69996</v>
      </c>
      <c r="CK42" s="375">
        <v>12854</v>
      </c>
      <c r="CL42" s="376">
        <v>353715</v>
      </c>
    </row>
    <row r="43" spans="1:90">
      <c r="A43" s="93">
        <f>ROWS($A$3:A41)</f>
        <v>39</v>
      </c>
      <c r="B43" s="106" t="s">
        <v>253</v>
      </c>
      <c r="C43" s="243"/>
      <c r="D43" s="319" t="s">
        <v>8</v>
      </c>
      <c r="E43" s="322">
        <v>40865</v>
      </c>
      <c r="F43" s="377">
        <v>15500</v>
      </c>
      <c r="G43" s="181">
        <v>7543</v>
      </c>
      <c r="H43" s="181">
        <v>21801</v>
      </c>
      <c r="I43" s="373">
        <v>12214</v>
      </c>
      <c r="J43" s="181"/>
      <c r="K43" s="156">
        <f t="shared" si="77"/>
        <v>4058</v>
      </c>
      <c r="L43" s="177">
        <f t="shared" si="78"/>
        <v>1576</v>
      </c>
      <c r="M43" s="177">
        <f t="shared" si="79"/>
        <v>690</v>
      </c>
      <c r="N43" s="177">
        <f t="shared" si="80"/>
        <v>1576</v>
      </c>
      <c r="O43" s="177">
        <f t="shared" si="81"/>
        <v>593</v>
      </c>
      <c r="P43" s="177">
        <f>BA43</f>
        <v>629</v>
      </c>
      <c r="Q43" s="177">
        <f>'2010'!AU43</f>
        <v>616</v>
      </c>
      <c r="R43" s="177">
        <f>AX43</f>
        <v>520</v>
      </c>
      <c r="S43" s="177">
        <f t="shared" si="82"/>
        <v>795</v>
      </c>
      <c r="T43" s="177">
        <f t="shared" si="83"/>
        <v>1229</v>
      </c>
      <c r="U43" s="179">
        <f t="shared" si="84"/>
        <v>3189</v>
      </c>
      <c r="V43" s="177">
        <f>BG43+BJ43</f>
        <v>641</v>
      </c>
      <c r="W43" s="177">
        <f t="shared" si="85"/>
        <v>1280</v>
      </c>
      <c r="X43" s="177">
        <f>BI43</f>
        <v>815</v>
      </c>
      <c r="Y43" s="177">
        <f>BN43</f>
        <v>1065</v>
      </c>
      <c r="Z43" s="177">
        <f t="shared" si="86"/>
        <v>1364</v>
      </c>
      <c r="AA43" s="177">
        <f>BQ43</f>
        <v>968</v>
      </c>
      <c r="AB43" s="179">
        <f t="shared" si="87"/>
        <v>1252</v>
      </c>
      <c r="AC43" s="177">
        <f t="shared" si="88"/>
        <v>1981</v>
      </c>
      <c r="AD43" s="177">
        <f t="shared" si="89"/>
        <v>2079</v>
      </c>
      <c r="AE43" s="177">
        <f>BS43+BT43</f>
        <v>3167</v>
      </c>
      <c r="AF43" s="177">
        <f t="shared" si="90"/>
        <v>2676</v>
      </c>
      <c r="AG43" s="177">
        <f t="shared" si="91"/>
        <v>4028</v>
      </c>
      <c r="AH43" s="177">
        <f t="shared" si="92"/>
        <v>1242</v>
      </c>
      <c r="AI43" s="177">
        <f t="shared" si="93"/>
        <v>1694</v>
      </c>
      <c r="AJ43" s="177">
        <f t="shared" si="94"/>
        <v>1262</v>
      </c>
      <c r="AK43" s="179">
        <f t="shared" si="95"/>
        <v>3672</v>
      </c>
      <c r="AL43" s="177">
        <f t="shared" si="96"/>
        <v>1809</v>
      </c>
      <c r="AM43" s="177">
        <f t="shared" si="97"/>
        <v>1846</v>
      </c>
      <c r="AN43" s="177">
        <f t="shared" si="98"/>
        <v>2095</v>
      </c>
      <c r="AO43" s="177">
        <f t="shared" si="99"/>
        <v>1435</v>
      </c>
      <c r="AP43" s="177">
        <f t="shared" si="100"/>
        <v>617</v>
      </c>
      <c r="AQ43" s="177">
        <f t="shared" si="101"/>
        <v>1805</v>
      </c>
      <c r="AR43" s="177">
        <f t="shared" si="102"/>
        <v>922</v>
      </c>
      <c r="AS43" s="178">
        <f>CF43+CG43</f>
        <v>1685</v>
      </c>
      <c r="AT43" s="348" t="s">
        <v>252</v>
      </c>
      <c r="AU43" s="348">
        <v>616</v>
      </c>
      <c r="AV43" s="348">
        <v>795</v>
      </c>
      <c r="AW43" s="348">
        <v>1576</v>
      </c>
      <c r="AX43" s="348">
        <v>520</v>
      </c>
      <c r="AY43" s="348">
        <v>1576</v>
      </c>
      <c r="AZ43" s="348" t="s">
        <v>252</v>
      </c>
      <c r="BA43" s="348">
        <v>629</v>
      </c>
      <c r="BB43" s="348">
        <v>1229</v>
      </c>
      <c r="BC43" s="348">
        <v>3189</v>
      </c>
      <c r="BD43" s="348">
        <v>690</v>
      </c>
      <c r="BE43" s="348">
        <v>593</v>
      </c>
      <c r="BF43" s="374">
        <v>4058</v>
      </c>
      <c r="BG43" s="348">
        <v>70</v>
      </c>
      <c r="BH43" s="348" t="s">
        <v>252</v>
      </c>
      <c r="BI43" s="348">
        <v>815</v>
      </c>
      <c r="BJ43" s="348">
        <v>571</v>
      </c>
      <c r="BK43" s="348" t="s">
        <v>252</v>
      </c>
      <c r="BL43" s="348" t="s">
        <v>252</v>
      </c>
      <c r="BM43" s="348">
        <v>1364</v>
      </c>
      <c r="BN43" s="348">
        <v>1065</v>
      </c>
      <c r="BO43" s="348" t="s">
        <v>252</v>
      </c>
      <c r="BP43" s="348">
        <v>1252</v>
      </c>
      <c r="BQ43" s="348">
        <v>968</v>
      </c>
      <c r="BR43" s="374">
        <v>1280</v>
      </c>
      <c r="BS43" s="348">
        <v>49</v>
      </c>
      <c r="BT43" s="348">
        <v>3118</v>
      </c>
      <c r="BU43" s="348">
        <v>2079</v>
      </c>
      <c r="BV43" s="348">
        <v>4028</v>
      </c>
      <c r="BW43" s="348">
        <v>1694</v>
      </c>
      <c r="BX43" s="348">
        <v>1981</v>
      </c>
      <c r="BY43" s="348">
        <v>1262</v>
      </c>
      <c r="BZ43" s="348">
        <v>1242</v>
      </c>
      <c r="CA43" s="348">
        <v>2676</v>
      </c>
      <c r="CB43" s="374">
        <v>3672</v>
      </c>
      <c r="CC43" s="348">
        <v>1435</v>
      </c>
      <c r="CD43" s="348">
        <v>617</v>
      </c>
      <c r="CE43" s="348">
        <v>1809</v>
      </c>
      <c r="CF43" s="348">
        <v>33</v>
      </c>
      <c r="CG43" s="348">
        <v>1652</v>
      </c>
      <c r="CH43" s="348">
        <v>1846</v>
      </c>
      <c r="CI43" s="348">
        <v>922</v>
      </c>
      <c r="CJ43" s="348">
        <v>2095</v>
      </c>
      <c r="CK43" s="375">
        <v>1805</v>
      </c>
      <c r="CL43" s="376">
        <v>57058</v>
      </c>
    </row>
    <row r="44" spans="1:90">
      <c r="A44" s="93">
        <f>ROWS($A$3:A42)</f>
        <v>40</v>
      </c>
      <c r="B44" s="62" t="s">
        <v>21</v>
      </c>
      <c r="C44" s="312"/>
      <c r="D44" s="319" t="s">
        <v>260</v>
      </c>
      <c r="E44" s="322">
        <v>40865</v>
      </c>
      <c r="F44" s="377">
        <v>32</v>
      </c>
      <c r="G44" s="181">
        <v>34</v>
      </c>
      <c r="H44" s="181">
        <v>25</v>
      </c>
      <c r="I44" s="373">
        <v>38</v>
      </c>
      <c r="J44" s="181"/>
      <c r="K44" s="156">
        <f t="shared" si="77"/>
        <v>34</v>
      </c>
      <c r="L44" s="177">
        <f t="shared" si="78"/>
        <v>28</v>
      </c>
      <c r="M44" s="177">
        <f t="shared" si="79"/>
        <v>27</v>
      </c>
      <c r="N44" s="177">
        <f t="shared" si="80"/>
        <v>34</v>
      </c>
      <c r="O44" s="177">
        <f t="shared" si="81"/>
        <v>38</v>
      </c>
      <c r="P44" s="183">
        <f>(BA42*BA44)/P42</f>
        <v>35</v>
      </c>
      <c r="Q44" s="177">
        <f>'2010'!AU44</f>
        <v>36</v>
      </c>
      <c r="R44" s="183">
        <f>(AX42*AX44)/R42</f>
        <v>31</v>
      </c>
      <c r="S44" s="177">
        <f t="shared" si="82"/>
        <v>26</v>
      </c>
      <c r="T44" s="177">
        <f t="shared" si="83"/>
        <v>33</v>
      </c>
      <c r="U44" s="179">
        <f t="shared" si="84"/>
        <v>32</v>
      </c>
      <c r="V44" s="183">
        <f>(BJ42*BJ44)/V42</f>
        <v>20</v>
      </c>
      <c r="W44" s="177">
        <f t="shared" si="85"/>
        <v>29</v>
      </c>
      <c r="X44" s="183">
        <f>(BI42*BI44)/X42</f>
        <v>39</v>
      </c>
      <c r="Y44" s="183">
        <f>(BN42*BN44)/Y42</f>
        <v>37</v>
      </c>
      <c r="Z44" s="177">
        <f t="shared" si="86"/>
        <v>35</v>
      </c>
      <c r="AA44" s="183">
        <f>(BQ42*BQ44)/AA42</f>
        <v>44</v>
      </c>
      <c r="AB44" s="179">
        <f t="shared" si="87"/>
        <v>28</v>
      </c>
      <c r="AC44" s="177">
        <f t="shared" si="88"/>
        <v>27</v>
      </c>
      <c r="AD44" s="177">
        <f t="shared" si="89"/>
        <v>20</v>
      </c>
      <c r="AE44" s="183">
        <f>(BS42*BS44+BT42*BT44)/AE42</f>
        <v>22.964054498019131</v>
      </c>
      <c r="AF44" s="177">
        <f t="shared" si="90"/>
        <v>21</v>
      </c>
      <c r="AG44" s="177">
        <f t="shared" si="91"/>
        <v>17</v>
      </c>
      <c r="AH44" s="177">
        <f t="shared" si="92"/>
        <v>38</v>
      </c>
      <c r="AI44" s="177">
        <f t="shared" si="93"/>
        <v>23</v>
      </c>
      <c r="AJ44" s="177">
        <f t="shared" si="94"/>
        <v>39</v>
      </c>
      <c r="AK44" s="179">
        <f t="shared" si="95"/>
        <v>28</v>
      </c>
      <c r="AL44" s="177">
        <f t="shared" si="96"/>
        <v>42</v>
      </c>
      <c r="AM44" s="177">
        <f t="shared" si="97"/>
        <v>40</v>
      </c>
      <c r="AN44" s="177">
        <f t="shared" si="98"/>
        <v>42</v>
      </c>
      <c r="AO44" s="177">
        <f t="shared" si="99"/>
        <v>33</v>
      </c>
      <c r="AP44" s="177">
        <f t="shared" si="100"/>
        <v>40</v>
      </c>
      <c r="AQ44" s="177">
        <f t="shared" si="101"/>
        <v>34</v>
      </c>
      <c r="AR44" s="177">
        <f t="shared" si="102"/>
        <v>31</v>
      </c>
      <c r="AS44" s="184">
        <f>(CF42*CF44+CG42*CG44)/AS42</f>
        <v>32.300259336099586</v>
      </c>
      <c r="AT44" s="348" t="s">
        <v>252</v>
      </c>
      <c r="AU44" s="348">
        <v>36</v>
      </c>
      <c r="AV44" s="348">
        <v>26</v>
      </c>
      <c r="AW44" s="348">
        <v>34</v>
      </c>
      <c r="AX44" s="348">
        <v>31</v>
      </c>
      <c r="AY44" s="348">
        <v>28</v>
      </c>
      <c r="AZ44" s="348" t="s">
        <v>252</v>
      </c>
      <c r="BA44" s="348">
        <v>35</v>
      </c>
      <c r="BB44" s="348">
        <v>33</v>
      </c>
      <c r="BC44" s="348">
        <v>32</v>
      </c>
      <c r="BD44" s="348">
        <v>27</v>
      </c>
      <c r="BE44" s="348">
        <v>38</v>
      </c>
      <c r="BF44" s="374">
        <v>34</v>
      </c>
      <c r="BG44" s="348">
        <v>0</v>
      </c>
      <c r="BH44" s="348" t="s">
        <v>252</v>
      </c>
      <c r="BI44" s="348">
        <v>39</v>
      </c>
      <c r="BJ44" s="348">
        <v>20</v>
      </c>
      <c r="BK44" s="348" t="s">
        <v>252</v>
      </c>
      <c r="BL44" s="348" t="s">
        <v>252</v>
      </c>
      <c r="BM44" s="348">
        <v>35</v>
      </c>
      <c r="BN44" s="348">
        <v>37</v>
      </c>
      <c r="BO44" s="348" t="s">
        <v>252</v>
      </c>
      <c r="BP44" s="348">
        <v>28</v>
      </c>
      <c r="BQ44" s="348">
        <v>44</v>
      </c>
      <c r="BR44" s="374">
        <v>29</v>
      </c>
      <c r="BS44" s="348">
        <v>19</v>
      </c>
      <c r="BT44" s="348">
        <v>23</v>
      </c>
      <c r="BU44" s="348">
        <v>20</v>
      </c>
      <c r="BV44" s="348">
        <v>17</v>
      </c>
      <c r="BW44" s="348">
        <v>23</v>
      </c>
      <c r="BX44" s="348">
        <v>27</v>
      </c>
      <c r="BY44" s="348">
        <v>39</v>
      </c>
      <c r="BZ44" s="348">
        <v>38</v>
      </c>
      <c r="CA44" s="348">
        <v>21</v>
      </c>
      <c r="CB44" s="374">
        <v>28</v>
      </c>
      <c r="CC44" s="348">
        <v>33</v>
      </c>
      <c r="CD44" s="348">
        <v>40</v>
      </c>
      <c r="CE44" s="348">
        <v>42</v>
      </c>
      <c r="CF44" s="348">
        <v>39</v>
      </c>
      <c r="CG44" s="348">
        <v>32</v>
      </c>
      <c r="CH44" s="348">
        <v>40</v>
      </c>
      <c r="CI44" s="348">
        <v>31</v>
      </c>
      <c r="CJ44" s="348">
        <v>42</v>
      </c>
      <c r="CK44" s="375">
        <v>34</v>
      </c>
      <c r="CL44" s="376">
        <v>33</v>
      </c>
    </row>
    <row r="45" spans="1:90">
      <c r="A45" s="93">
        <f>ROWS($A$3:A43)</f>
        <v>41</v>
      </c>
      <c r="B45" s="106" t="s">
        <v>79</v>
      </c>
      <c r="C45" s="242">
        <v>2010</v>
      </c>
      <c r="D45" s="319" t="s">
        <v>8</v>
      </c>
      <c r="E45" s="322">
        <v>40865</v>
      </c>
      <c r="F45" s="377">
        <v>1148077</v>
      </c>
      <c r="G45" s="181">
        <v>109564</v>
      </c>
      <c r="H45" s="181">
        <v>151726</v>
      </c>
      <c r="I45" s="373">
        <v>723432</v>
      </c>
      <c r="J45" s="181"/>
      <c r="K45" s="156">
        <f t="shared" si="77"/>
        <v>143135</v>
      </c>
      <c r="L45" s="177">
        <f t="shared" si="78"/>
        <v>16426</v>
      </c>
      <c r="M45" s="177">
        <f t="shared" si="79"/>
        <v>150540</v>
      </c>
      <c r="N45" s="177">
        <f t="shared" si="80"/>
        <v>25725</v>
      </c>
      <c r="O45" s="177">
        <f t="shared" si="81"/>
        <v>49736</v>
      </c>
      <c r="P45" s="177">
        <f>BA45</f>
        <v>35071</v>
      </c>
      <c r="Q45" s="177">
        <f>'2010'!AU45</f>
        <v>21372</v>
      </c>
      <c r="R45" s="177">
        <f>AX45</f>
        <v>42652</v>
      </c>
      <c r="S45" s="177">
        <f t="shared" si="82"/>
        <v>7266</v>
      </c>
      <c r="T45" s="177">
        <f t="shared" si="83"/>
        <v>180470</v>
      </c>
      <c r="U45" s="179">
        <f t="shared" si="84"/>
        <v>475187</v>
      </c>
      <c r="V45" s="177">
        <f>BJ45</f>
        <v>7039</v>
      </c>
      <c r="W45" s="177">
        <f t="shared" si="85"/>
        <v>14067</v>
      </c>
      <c r="X45" s="177">
        <f>BH45+BI45</f>
        <v>7841</v>
      </c>
      <c r="Y45" s="177">
        <f>BN45</f>
        <v>27263</v>
      </c>
      <c r="Z45" s="177">
        <f t="shared" si="86"/>
        <v>37706</v>
      </c>
      <c r="AA45" s="177">
        <f>BO45+BQ45</f>
        <v>7823</v>
      </c>
      <c r="AB45" s="179">
        <f t="shared" si="87"/>
        <v>6980</v>
      </c>
      <c r="AC45" s="177">
        <f t="shared" si="88"/>
        <v>22148</v>
      </c>
      <c r="AD45" s="177">
        <f t="shared" si="89"/>
        <v>5024</v>
      </c>
      <c r="AE45" s="177">
        <f>BS45+BT45</f>
        <v>8955</v>
      </c>
      <c r="AF45" s="177">
        <f t="shared" si="90"/>
        <v>3562</v>
      </c>
      <c r="AG45" s="177">
        <f t="shared" si="91"/>
        <v>30888</v>
      </c>
      <c r="AH45" s="177">
        <f t="shared" si="92"/>
        <v>18417</v>
      </c>
      <c r="AI45" s="177">
        <f t="shared" si="93"/>
        <v>38725</v>
      </c>
      <c r="AJ45" s="177">
        <f t="shared" si="94"/>
        <v>10936</v>
      </c>
      <c r="AK45" s="179">
        <f t="shared" si="95"/>
        <v>13071</v>
      </c>
      <c r="AL45" s="177">
        <f t="shared" si="96"/>
        <v>9721</v>
      </c>
      <c r="AM45" s="177">
        <f t="shared" si="97"/>
        <v>173896</v>
      </c>
      <c r="AN45" s="177">
        <f t="shared" si="98"/>
        <v>56880</v>
      </c>
      <c r="AO45" s="177">
        <f t="shared" si="99"/>
        <v>30040</v>
      </c>
      <c r="AP45" s="177">
        <f t="shared" si="100"/>
        <v>17102</v>
      </c>
      <c r="AQ45" s="177">
        <f t="shared" si="101"/>
        <v>107463</v>
      </c>
      <c r="AR45" s="177">
        <f t="shared" si="102"/>
        <v>20295</v>
      </c>
      <c r="AS45" s="178">
        <f>CF45+CG45</f>
        <v>308035</v>
      </c>
      <c r="AT45" s="348" t="s">
        <v>252</v>
      </c>
      <c r="AU45" s="348">
        <v>21372</v>
      </c>
      <c r="AV45" s="348">
        <v>7266</v>
      </c>
      <c r="AW45" s="348">
        <v>25725</v>
      </c>
      <c r="AX45" s="348">
        <v>42652</v>
      </c>
      <c r="AY45" s="348">
        <v>16426</v>
      </c>
      <c r="AZ45" s="348" t="s">
        <v>252</v>
      </c>
      <c r="BA45" s="348">
        <v>35071</v>
      </c>
      <c r="BB45" s="348">
        <v>180470</v>
      </c>
      <c r="BC45" s="348">
        <v>475187</v>
      </c>
      <c r="BD45" s="348">
        <v>150540</v>
      </c>
      <c r="BE45" s="348">
        <v>49736</v>
      </c>
      <c r="BF45" s="374">
        <v>143135</v>
      </c>
      <c r="BG45" s="348" t="s">
        <v>252</v>
      </c>
      <c r="BH45" s="348">
        <v>1211</v>
      </c>
      <c r="BI45" s="348">
        <v>6630</v>
      </c>
      <c r="BJ45" s="348">
        <v>7039</v>
      </c>
      <c r="BK45" s="348">
        <v>765</v>
      </c>
      <c r="BL45" s="348" t="s">
        <v>252</v>
      </c>
      <c r="BM45" s="348">
        <v>37706</v>
      </c>
      <c r="BN45" s="348">
        <v>27263</v>
      </c>
      <c r="BO45" s="348">
        <v>95</v>
      </c>
      <c r="BP45" s="348">
        <v>6980</v>
      </c>
      <c r="BQ45" s="348">
        <v>7728</v>
      </c>
      <c r="BR45" s="374">
        <v>14067</v>
      </c>
      <c r="BS45" s="348">
        <v>400</v>
      </c>
      <c r="BT45" s="348">
        <v>8555</v>
      </c>
      <c r="BU45" s="348">
        <v>5024</v>
      </c>
      <c r="BV45" s="348">
        <v>30888</v>
      </c>
      <c r="BW45" s="348">
        <v>38725</v>
      </c>
      <c r="BX45" s="348">
        <v>22148</v>
      </c>
      <c r="BY45" s="348">
        <v>10936</v>
      </c>
      <c r="BZ45" s="348">
        <v>18417</v>
      </c>
      <c r="CA45" s="348">
        <v>3562</v>
      </c>
      <c r="CB45" s="374">
        <v>13071</v>
      </c>
      <c r="CC45" s="348">
        <v>30040</v>
      </c>
      <c r="CD45" s="348">
        <v>17102</v>
      </c>
      <c r="CE45" s="348">
        <v>9721</v>
      </c>
      <c r="CF45" s="348">
        <v>19867</v>
      </c>
      <c r="CG45" s="348">
        <v>288168</v>
      </c>
      <c r="CH45" s="348">
        <v>173896</v>
      </c>
      <c r="CI45" s="348">
        <v>20295</v>
      </c>
      <c r="CJ45" s="348">
        <v>56880</v>
      </c>
      <c r="CK45" s="375">
        <v>107463</v>
      </c>
      <c r="CL45" s="376">
        <v>2132799</v>
      </c>
    </row>
    <row r="46" spans="1:90">
      <c r="A46" s="93">
        <f>ROWS($A$3:A44)</f>
        <v>42</v>
      </c>
      <c r="B46" s="106" t="s">
        <v>9</v>
      </c>
      <c r="C46" s="243"/>
      <c r="D46" s="319" t="s">
        <v>8</v>
      </c>
      <c r="E46" s="322">
        <v>40865</v>
      </c>
      <c r="F46" s="377">
        <v>138422</v>
      </c>
      <c r="G46" s="181">
        <v>8774</v>
      </c>
      <c r="H46" s="181">
        <v>13335</v>
      </c>
      <c r="I46" s="373">
        <v>71363</v>
      </c>
      <c r="J46" s="181"/>
      <c r="K46" s="156">
        <f t="shared" si="77"/>
        <v>19542</v>
      </c>
      <c r="L46" s="177" t="str">
        <f t="shared" si="78"/>
        <v>*</v>
      </c>
      <c r="M46" s="177">
        <f t="shared" si="79"/>
        <v>19664</v>
      </c>
      <c r="N46" s="177">
        <f t="shared" si="80"/>
        <v>1477</v>
      </c>
      <c r="O46" s="177">
        <f t="shared" si="81"/>
        <v>4383</v>
      </c>
      <c r="P46" s="177">
        <f>AZ46+BA46</f>
        <v>3335</v>
      </c>
      <c r="Q46" s="177">
        <f>'2010'!AU46</f>
        <v>2233</v>
      </c>
      <c r="R46" s="177">
        <f>AX46</f>
        <v>2945</v>
      </c>
      <c r="S46" s="177" t="str">
        <f t="shared" si="82"/>
        <v>*</v>
      </c>
      <c r="T46" s="177">
        <f t="shared" si="83"/>
        <v>24236</v>
      </c>
      <c r="U46" s="179">
        <f t="shared" si="84"/>
        <v>58271</v>
      </c>
      <c r="V46" s="177">
        <f>BJ46</f>
        <v>532</v>
      </c>
      <c r="W46" s="177">
        <f t="shared" si="85"/>
        <v>1444</v>
      </c>
      <c r="X46" s="177">
        <f>BI46</f>
        <v>180</v>
      </c>
      <c r="Y46" s="177">
        <f>BL46+BN46</f>
        <v>1863</v>
      </c>
      <c r="Z46" s="177">
        <f t="shared" si="86"/>
        <v>2878</v>
      </c>
      <c r="AA46" s="177" t="str">
        <f>BQ46</f>
        <v>*</v>
      </c>
      <c r="AB46" s="179">
        <f t="shared" si="87"/>
        <v>466</v>
      </c>
      <c r="AC46" s="177">
        <f t="shared" si="88"/>
        <v>1634</v>
      </c>
      <c r="AD46" s="177">
        <f t="shared" si="89"/>
        <v>471</v>
      </c>
      <c r="AE46" s="177">
        <f>BS46+BT46</f>
        <v>692</v>
      </c>
      <c r="AF46" s="177">
        <f t="shared" si="90"/>
        <v>190</v>
      </c>
      <c r="AG46" s="177">
        <f t="shared" si="91"/>
        <v>3655</v>
      </c>
      <c r="AH46" s="177">
        <f t="shared" si="92"/>
        <v>1386</v>
      </c>
      <c r="AI46" s="177">
        <f t="shared" si="93"/>
        <v>2660</v>
      </c>
      <c r="AJ46" s="177">
        <f t="shared" si="94"/>
        <v>1032</v>
      </c>
      <c r="AK46" s="179">
        <f t="shared" si="95"/>
        <v>1615</v>
      </c>
      <c r="AL46" s="177">
        <f t="shared" si="96"/>
        <v>778</v>
      </c>
      <c r="AM46" s="177">
        <f t="shared" si="97"/>
        <v>17329</v>
      </c>
      <c r="AN46" s="177">
        <f t="shared" si="98"/>
        <v>6991</v>
      </c>
      <c r="AO46" s="177">
        <f t="shared" si="99"/>
        <v>3831</v>
      </c>
      <c r="AP46" s="177">
        <f t="shared" si="100"/>
        <v>941</v>
      </c>
      <c r="AQ46" s="177">
        <f t="shared" si="101"/>
        <v>10639</v>
      </c>
      <c r="AR46" s="177">
        <f t="shared" si="102"/>
        <v>1591</v>
      </c>
      <c r="AS46" s="178">
        <f>CF46+CG46</f>
        <v>29263</v>
      </c>
      <c r="AT46" s="348" t="s">
        <v>252</v>
      </c>
      <c r="AU46" s="348">
        <v>2233</v>
      </c>
      <c r="AV46" s="348" t="s">
        <v>252</v>
      </c>
      <c r="AW46" s="348">
        <v>1477</v>
      </c>
      <c r="AX46" s="348">
        <v>2945</v>
      </c>
      <c r="AY46" s="348" t="s">
        <v>252</v>
      </c>
      <c r="AZ46" s="348">
        <v>0</v>
      </c>
      <c r="BA46" s="348">
        <v>3335</v>
      </c>
      <c r="BB46" s="348">
        <v>24236</v>
      </c>
      <c r="BC46" s="348">
        <v>58271</v>
      </c>
      <c r="BD46" s="348">
        <v>19664</v>
      </c>
      <c r="BE46" s="348">
        <v>4383</v>
      </c>
      <c r="BF46" s="374">
        <v>19542</v>
      </c>
      <c r="BG46" s="348" t="s">
        <v>252</v>
      </c>
      <c r="BH46" s="348" t="s">
        <v>252</v>
      </c>
      <c r="BI46" s="348">
        <v>180</v>
      </c>
      <c r="BJ46" s="348">
        <v>532</v>
      </c>
      <c r="BK46" s="348" t="s">
        <v>252</v>
      </c>
      <c r="BL46" s="348">
        <v>0</v>
      </c>
      <c r="BM46" s="348">
        <v>2878</v>
      </c>
      <c r="BN46" s="348">
        <v>1863</v>
      </c>
      <c r="BO46" s="348" t="s">
        <v>252</v>
      </c>
      <c r="BP46" s="348">
        <v>466</v>
      </c>
      <c r="BQ46" s="348" t="s">
        <v>252</v>
      </c>
      <c r="BR46" s="374">
        <v>1444</v>
      </c>
      <c r="BS46" s="348">
        <v>83</v>
      </c>
      <c r="BT46" s="348">
        <v>609</v>
      </c>
      <c r="BU46" s="348">
        <v>471</v>
      </c>
      <c r="BV46" s="348">
        <v>3655</v>
      </c>
      <c r="BW46" s="348">
        <v>2660</v>
      </c>
      <c r="BX46" s="348">
        <v>1634</v>
      </c>
      <c r="BY46" s="348">
        <v>1032</v>
      </c>
      <c r="BZ46" s="348">
        <v>1386</v>
      </c>
      <c r="CA46" s="348">
        <v>190</v>
      </c>
      <c r="CB46" s="374">
        <v>1615</v>
      </c>
      <c r="CC46" s="348">
        <v>3831</v>
      </c>
      <c r="CD46" s="348">
        <v>941</v>
      </c>
      <c r="CE46" s="348">
        <v>778</v>
      </c>
      <c r="CF46" s="348">
        <v>1439</v>
      </c>
      <c r="CG46" s="348">
        <v>27824</v>
      </c>
      <c r="CH46" s="348">
        <v>17329</v>
      </c>
      <c r="CI46" s="348">
        <v>1591</v>
      </c>
      <c r="CJ46" s="348">
        <v>6991</v>
      </c>
      <c r="CK46" s="375">
        <v>10639</v>
      </c>
      <c r="CL46" s="376">
        <v>231894</v>
      </c>
    </row>
    <row r="47" spans="1:90">
      <c r="A47" s="93">
        <f>ROWS($A$3:A45)</f>
        <v>43</v>
      </c>
      <c r="B47" s="62" t="s">
        <v>298</v>
      </c>
      <c r="C47" s="312"/>
      <c r="D47" s="319" t="s">
        <v>260</v>
      </c>
      <c r="E47" s="322">
        <v>40865</v>
      </c>
      <c r="F47" s="377">
        <v>174</v>
      </c>
      <c r="G47" s="181">
        <v>101</v>
      </c>
      <c r="H47" s="181">
        <v>48</v>
      </c>
      <c r="I47" s="373">
        <v>169</v>
      </c>
      <c r="J47" s="181"/>
      <c r="K47" s="156">
        <f t="shared" si="77"/>
        <v>113</v>
      </c>
      <c r="L47" s="177">
        <f t="shared" si="78"/>
        <v>73</v>
      </c>
      <c r="M47" s="177">
        <f t="shared" si="79"/>
        <v>139</v>
      </c>
      <c r="N47" s="177">
        <f t="shared" si="80"/>
        <v>127</v>
      </c>
      <c r="O47" s="177">
        <f t="shared" si="81"/>
        <v>187</v>
      </c>
      <c r="P47" s="183">
        <v>100</v>
      </c>
      <c r="Q47" s="177">
        <f>'2010'!AU47</f>
        <v>144</v>
      </c>
      <c r="R47" s="183">
        <f>(AX45*AX47)/R45</f>
        <v>215</v>
      </c>
      <c r="S47" s="177">
        <f t="shared" si="82"/>
        <v>65</v>
      </c>
      <c r="T47" s="177">
        <f t="shared" si="83"/>
        <v>217</v>
      </c>
      <c r="U47" s="179">
        <f t="shared" si="84"/>
        <v>227</v>
      </c>
      <c r="V47" s="183">
        <v>60</v>
      </c>
      <c r="W47" s="177">
        <f t="shared" si="85"/>
        <v>70</v>
      </c>
      <c r="X47" s="183">
        <f>(BH45*BH47+BI45*BI47)/X45</f>
        <v>92.235556689197807</v>
      </c>
      <c r="Y47" s="183">
        <v>86.77</v>
      </c>
      <c r="Z47" s="177">
        <f t="shared" si="86"/>
        <v>147</v>
      </c>
      <c r="AA47" s="183">
        <v>49</v>
      </c>
      <c r="AB47" s="179">
        <f t="shared" si="87"/>
        <v>45</v>
      </c>
      <c r="AC47" s="177">
        <f t="shared" si="88"/>
        <v>56</v>
      </c>
      <c r="AD47" s="177">
        <f t="shared" si="89"/>
        <v>23</v>
      </c>
      <c r="AE47" s="183">
        <f>(BS45*BS47+BT45*BT47)/AE45</f>
        <v>21.776661083193748</v>
      </c>
      <c r="AF47" s="177">
        <f t="shared" si="90"/>
        <v>28</v>
      </c>
      <c r="AG47" s="177">
        <f t="shared" si="91"/>
        <v>31</v>
      </c>
      <c r="AH47" s="177">
        <f t="shared" si="92"/>
        <v>101</v>
      </c>
      <c r="AI47" s="177">
        <f t="shared" si="93"/>
        <v>117</v>
      </c>
      <c r="AJ47" s="177">
        <f t="shared" si="94"/>
        <v>69</v>
      </c>
      <c r="AK47" s="179">
        <f t="shared" si="95"/>
        <v>34</v>
      </c>
      <c r="AL47" s="177">
        <f t="shared" si="96"/>
        <v>74</v>
      </c>
      <c r="AM47" s="177">
        <f t="shared" si="97"/>
        <v>198</v>
      </c>
      <c r="AN47" s="177">
        <f t="shared" si="98"/>
        <v>118</v>
      </c>
      <c r="AO47" s="177">
        <f t="shared" si="99"/>
        <v>69</v>
      </c>
      <c r="AP47" s="177">
        <f t="shared" si="100"/>
        <v>154</v>
      </c>
      <c r="AQ47" s="177">
        <f t="shared" si="101"/>
        <v>150</v>
      </c>
      <c r="AR47" s="177">
        <f t="shared" si="102"/>
        <v>113</v>
      </c>
      <c r="AS47" s="184">
        <f>(CF45*CF47+CG45*CG47)/AS45</f>
        <v>229.67313454639896</v>
      </c>
      <c r="AT47" s="348" t="s">
        <v>252</v>
      </c>
      <c r="AU47" s="348">
        <v>144</v>
      </c>
      <c r="AV47" s="348">
        <v>65</v>
      </c>
      <c r="AW47" s="348">
        <v>127</v>
      </c>
      <c r="AX47" s="348">
        <v>215</v>
      </c>
      <c r="AY47" s="348">
        <v>73</v>
      </c>
      <c r="AZ47" s="348" t="s">
        <v>252</v>
      </c>
      <c r="BA47" s="348">
        <v>177</v>
      </c>
      <c r="BB47" s="348">
        <v>217</v>
      </c>
      <c r="BC47" s="348">
        <v>227</v>
      </c>
      <c r="BD47" s="348">
        <v>139</v>
      </c>
      <c r="BE47" s="348">
        <v>187</v>
      </c>
      <c r="BF47" s="374">
        <v>113</v>
      </c>
      <c r="BG47" s="348" t="s">
        <v>252</v>
      </c>
      <c r="BH47" s="348">
        <v>99</v>
      </c>
      <c r="BI47" s="348">
        <v>91</v>
      </c>
      <c r="BJ47" s="348">
        <v>90</v>
      </c>
      <c r="BK47" s="348">
        <v>63</v>
      </c>
      <c r="BL47" s="348" t="s">
        <v>252</v>
      </c>
      <c r="BM47" s="348">
        <v>147</v>
      </c>
      <c r="BN47" s="348">
        <v>132</v>
      </c>
      <c r="BO47" s="348" t="s">
        <v>252</v>
      </c>
      <c r="BP47" s="348">
        <v>45</v>
      </c>
      <c r="BQ47" s="348">
        <v>86</v>
      </c>
      <c r="BR47" s="374">
        <v>70</v>
      </c>
      <c r="BS47" s="348">
        <v>17</v>
      </c>
      <c r="BT47" s="348">
        <v>22</v>
      </c>
      <c r="BU47" s="348">
        <v>23</v>
      </c>
      <c r="BV47" s="348">
        <v>31</v>
      </c>
      <c r="BW47" s="348">
        <v>117</v>
      </c>
      <c r="BX47" s="348">
        <v>56</v>
      </c>
      <c r="BY47" s="348">
        <v>69</v>
      </c>
      <c r="BZ47" s="348">
        <v>101</v>
      </c>
      <c r="CA47" s="348">
        <v>28</v>
      </c>
      <c r="CB47" s="374">
        <v>34</v>
      </c>
      <c r="CC47" s="348">
        <v>69</v>
      </c>
      <c r="CD47" s="348">
        <v>154</v>
      </c>
      <c r="CE47" s="348">
        <v>74</v>
      </c>
      <c r="CF47" s="348">
        <v>428</v>
      </c>
      <c r="CG47" s="348">
        <v>216</v>
      </c>
      <c r="CH47" s="348">
        <v>198</v>
      </c>
      <c r="CI47" s="348">
        <v>113</v>
      </c>
      <c r="CJ47" s="348">
        <v>118</v>
      </c>
      <c r="CK47" s="375">
        <v>150</v>
      </c>
      <c r="CL47" s="376">
        <v>136</v>
      </c>
    </row>
    <row r="48" spans="1:90">
      <c r="A48" s="93">
        <f>ROWS($A$3:A46)</f>
        <v>44</v>
      </c>
      <c r="B48" s="236" t="s">
        <v>258</v>
      </c>
      <c r="C48" s="242">
        <v>2010</v>
      </c>
      <c r="D48" s="319" t="s">
        <v>8</v>
      </c>
      <c r="E48" s="322">
        <v>40865</v>
      </c>
      <c r="F48" s="377">
        <v>18657</v>
      </c>
      <c r="G48" s="181">
        <v>11690</v>
      </c>
      <c r="H48" s="181">
        <v>13322</v>
      </c>
      <c r="I48" s="373">
        <v>16072</v>
      </c>
      <c r="J48" s="181"/>
      <c r="K48" s="156">
        <f t="shared" si="77"/>
        <v>3102</v>
      </c>
      <c r="L48" s="177">
        <f t="shared" si="78"/>
        <v>1882</v>
      </c>
      <c r="M48" s="177">
        <f t="shared" si="79"/>
        <v>817</v>
      </c>
      <c r="N48" s="177">
        <f t="shared" si="80"/>
        <v>1667</v>
      </c>
      <c r="O48" s="177">
        <f t="shared" si="81"/>
        <v>739</v>
      </c>
      <c r="P48" s="177">
        <f>AZ48+BA48</f>
        <v>1429</v>
      </c>
      <c r="Q48" s="177">
        <f>'2010'!AU48</f>
        <v>2195</v>
      </c>
      <c r="R48" s="177">
        <f>AT48+AX48</f>
        <v>2352</v>
      </c>
      <c r="S48" s="177">
        <f t="shared" si="82"/>
        <v>2310</v>
      </c>
      <c r="T48" s="177">
        <f t="shared" si="83"/>
        <v>715</v>
      </c>
      <c r="U48" s="179">
        <f t="shared" si="84"/>
        <v>1449</v>
      </c>
      <c r="V48" s="177">
        <f>BG48+BJ48</f>
        <v>823</v>
      </c>
      <c r="W48" s="177">
        <f t="shared" si="85"/>
        <v>919</v>
      </c>
      <c r="X48" s="177">
        <f>BH48+BI48</f>
        <v>2585</v>
      </c>
      <c r="Y48" s="177">
        <f>BK48+BL48+BN48</f>
        <v>2816</v>
      </c>
      <c r="Z48" s="177">
        <f t="shared" si="86"/>
        <v>1619</v>
      </c>
      <c r="AA48" s="177">
        <f>BO48+BQ48</f>
        <v>1517</v>
      </c>
      <c r="AB48" s="179">
        <f t="shared" si="87"/>
        <v>1411</v>
      </c>
      <c r="AC48" s="177">
        <f t="shared" si="88"/>
        <v>1145</v>
      </c>
      <c r="AD48" s="177">
        <f t="shared" si="89"/>
        <v>998</v>
      </c>
      <c r="AE48" s="177">
        <f>BS48+BT48</f>
        <v>2422</v>
      </c>
      <c r="AF48" s="177">
        <f t="shared" si="90"/>
        <v>1691</v>
      </c>
      <c r="AG48" s="177">
        <f t="shared" si="91"/>
        <v>1682</v>
      </c>
      <c r="AH48" s="177">
        <f t="shared" si="92"/>
        <v>1607</v>
      </c>
      <c r="AI48" s="177">
        <f t="shared" si="93"/>
        <v>906</v>
      </c>
      <c r="AJ48" s="177">
        <f t="shared" si="94"/>
        <v>688</v>
      </c>
      <c r="AK48" s="179">
        <f t="shared" si="95"/>
        <v>2183</v>
      </c>
      <c r="AL48" s="177">
        <f t="shared" si="96"/>
        <v>1639</v>
      </c>
      <c r="AM48" s="177">
        <f t="shared" si="97"/>
        <v>2054</v>
      </c>
      <c r="AN48" s="177">
        <f t="shared" si="98"/>
        <v>3481</v>
      </c>
      <c r="AO48" s="177">
        <f t="shared" si="99"/>
        <v>2729</v>
      </c>
      <c r="AP48" s="177">
        <f t="shared" si="100"/>
        <v>920</v>
      </c>
      <c r="AQ48" s="177">
        <f t="shared" si="101"/>
        <v>1506</v>
      </c>
      <c r="AR48" s="177">
        <f t="shared" si="102"/>
        <v>1586</v>
      </c>
      <c r="AS48" s="178">
        <f>CF48+CG48</f>
        <v>2157</v>
      </c>
      <c r="AT48" s="348">
        <v>176</v>
      </c>
      <c r="AU48" s="348">
        <v>2195</v>
      </c>
      <c r="AV48" s="348">
        <v>2310</v>
      </c>
      <c r="AW48" s="348">
        <v>1667</v>
      </c>
      <c r="AX48" s="348">
        <v>2176</v>
      </c>
      <c r="AY48" s="348">
        <v>1882</v>
      </c>
      <c r="AZ48" s="348">
        <v>55</v>
      </c>
      <c r="BA48" s="348">
        <v>1374</v>
      </c>
      <c r="BB48" s="348">
        <v>715</v>
      </c>
      <c r="BC48" s="348">
        <v>1449</v>
      </c>
      <c r="BD48" s="348">
        <v>817</v>
      </c>
      <c r="BE48" s="348">
        <v>739</v>
      </c>
      <c r="BF48" s="374">
        <v>3102</v>
      </c>
      <c r="BG48" s="348">
        <v>50</v>
      </c>
      <c r="BH48" s="348">
        <v>168</v>
      </c>
      <c r="BI48" s="348">
        <v>2417</v>
      </c>
      <c r="BJ48" s="348">
        <v>773</v>
      </c>
      <c r="BK48" s="348">
        <v>116</v>
      </c>
      <c r="BL48" s="348">
        <v>469</v>
      </c>
      <c r="BM48" s="348">
        <v>1619</v>
      </c>
      <c r="BN48" s="348">
        <v>2231</v>
      </c>
      <c r="BO48" s="348">
        <v>95</v>
      </c>
      <c r="BP48" s="348">
        <v>1411</v>
      </c>
      <c r="BQ48" s="348">
        <v>1422</v>
      </c>
      <c r="BR48" s="374">
        <v>919</v>
      </c>
      <c r="BS48" s="348">
        <v>249</v>
      </c>
      <c r="BT48" s="348">
        <v>2173</v>
      </c>
      <c r="BU48" s="348">
        <v>998</v>
      </c>
      <c r="BV48" s="348">
        <v>1682</v>
      </c>
      <c r="BW48" s="348">
        <v>906</v>
      </c>
      <c r="BX48" s="348">
        <v>1145</v>
      </c>
      <c r="BY48" s="348">
        <v>688</v>
      </c>
      <c r="BZ48" s="348">
        <v>1607</v>
      </c>
      <c r="CA48" s="348">
        <v>1691</v>
      </c>
      <c r="CB48" s="374">
        <v>2183</v>
      </c>
      <c r="CC48" s="348">
        <v>2729</v>
      </c>
      <c r="CD48" s="348">
        <v>920</v>
      </c>
      <c r="CE48" s="348">
        <v>1639</v>
      </c>
      <c r="CF48" s="348">
        <v>220</v>
      </c>
      <c r="CG48" s="348">
        <v>1937</v>
      </c>
      <c r="CH48" s="348">
        <v>2054</v>
      </c>
      <c r="CI48" s="348">
        <v>1586</v>
      </c>
      <c r="CJ48" s="348">
        <v>3481</v>
      </c>
      <c r="CK48" s="375">
        <v>1506</v>
      </c>
      <c r="CL48" s="376">
        <v>59741</v>
      </c>
    </row>
    <row r="49" spans="1:90">
      <c r="A49" s="93">
        <f>ROWS($A$3:A47)</f>
        <v>45</v>
      </c>
      <c r="B49" s="106" t="s">
        <v>80</v>
      </c>
      <c r="C49" s="242">
        <v>2010</v>
      </c>
      <c r="D49" s="319" t="s">
        <v>8</v>
      </c>
      <c r="E49" s="322">
        <v>40865</v>
      </c>
      <c r="F49" s="377">
        <v>90574</v>
      </c>
      <c r="G49" s="181">
        <v>37219</v>
      </c>
      <c r="H49" s="181">
        <v>48638</v>
      </c>
      <c r="I49" s="373">
        <v>72219</v>
      </c>
      <c r="J49" s="181"/>
      <c r="K49" s="156">
        <f t="shared" si="77"/>
        <v>11026</v>
      </c>
      <c r="L49" s="177">
        <f t="shared" si="78"/>
        <v>7998</v>
      </c>
      <c r="M49" s="177">
        <f t="shared" si="79"/>
        <v>3629</v>
      </c>
      <c r="N49" s="177">
        <f t="shared" si="80"/>
        <v>11011</v>
      </c>
      <c r="O49" s="177">
        <f t="shared" si="81"/>
        <v>9759</v>
      </c>
      <c r="P49" s="177">
        <f>AZ49+BA49</f>
        <v>8316</v>
      </c>
      <c r="Q49" s="177">
        <f>'2010'!AU49</f>
        <v>5002</v>
      </c>
      <c r="R49" s="177">
        <f>AT49+AX49</f>
        <v>3480</v>
      </c>
      <c r="S49" s="177">
        <f t="shared" si="82"/>
        <v>12878</v>
      </c>
      <c r="T49" s="177">
        <f t="shared" si="83"/>
        <v>6146</v>
      </c>
      <c r="U49" s="179">
        <f t="shared" si="84"/>
        <v>11329</v>
      </c>
      <c r="V49" s="177">
        <f>BG49+BJ49</f>
        <v>4079</v>
      </c>
      <c r="W49" s="177">
        <f t="shared" si="85"/>
        <v>8075</v>
      </c>
      <c r="X49" s="177">
        <f>BH49+BI49</f>
        <v>5162</v>
      </c>
      <c r="Y49" s="177">
        <f>BN49</f>
        <v>4778</v>
      </c>
      <c r="Z49" s="177">
        <f t="shared" si="86"/>
        <v>2872</v>
      </c>
      <c r="AA49" s="177">
        <f>BQ49</f>
        <v>1648</v>
      </c>
      <c r="AB49" s="179">
        <f t="shared" si="87"/>
        <v>9701</v>
      </c>
      <c r="AC49" s="177">
        <f t="shared" si="88"/>
        <v>3492</v>
      </c>
      <c r="AD49" s="177">
        <f t="shared" si="89"/>
        <v>2712</v>
      </c>
      <c r="AE49" s="177">
        <f>BS49+BT49</f>
        <v>9536</v>
      </c>
      <c r="AF49" s="177">
        <f t="shared" si="90"/>
        <v>4480</v>
      </c>
      <c r="AG49" s="177">
        <f t="shared" si="91"/>
        <v>5909</v>
      </c>
      <c r="AH49" s="177">
        <f t="shared" si="92"/>
        <v>4775</v>
      </c>
      <c r="AI49" s="177">
        <f t="shared" si="93"/>
        <v>7827</v>
      </c>
      <c r="AJ49" s="177">
        <f t="shared" si="94"/>
        <v>4733</v>
      </c>
      <c r="AK49" s="179">
        <f t="shared" si="95"/>
        <v>5174</v>
      </c>
      <c r="AL49" s="177">
        <f t="shared" si="96"/>
        <v>16486</v>
      </c>
      <c r="AM49" s="177">
        <f t="shared" si="97"/>
        <v>4167</v>
      </c>
      <c r="AN49" s="177">
        <f t="shared" si="98"/>
        <v>5606</v>
      </c>
      <c r="AO49" s="177">
        <f t="shared" si="99"/>
        <v>20120</v>
      </c>
      <c r="AP49" s="177" t="str">
        <f t="shared" si="100"/>
        <v>*</v>
      </c>
      <c r="AQ49" s="177">
        <f t="shared" si="101"/>
        <v>4076</v>
      </c>
      <c r="AR49" s="177">
        <f t="shared" si="102"/>
        <v>4623</v>
      </c>
      <c r="AS49" s="178">
        <f>CG49</f>
        <v>10366</v>
      </c>
      <c r="AT49" s="348">
        <v>387</v>
      </c>
      <c r="AU49" s="348">
        <v>5002</v>
      </c>
      <c r="AV49" s="348">
        <v>12878</v>
      </c>
      <c r="AW49" s="348">
        <v>11011</v>
      </c>
      <c r="AX49" s="348">
        <v>3093</v>
      </c>
      <c r="AY49" s="348">
        <v>7998</v>
      </c>
      <c r="AZ49" s="348">
        <v>0</v>
      </c>
      <c r="BA49" s="348">
        <v>8316</v>
      </c>
      <c r="BB49" s="348">
        <v>6146</v>
      </c>
      <c r="BC49" s="348">
        <v>11329</v>
      </c>
      <c r="BD49" s="348">
        <v>3629</v>
      </c>
      <c r="BE49" s="348">
        <v>9759</v>
      </c>
      <c r="BF49" s="374">
        <v>11026</v>
      </c>
      <c r="BG49" s="348">
        <v>1526</v>
      </c>
      <c r="BH49" s="348">
        <v>881</v>
      </c>
      <c r="BI49" s="348">
        <v>4281</v>
      </c>
      <c r="BJ49" s="348">
        <v>2553</v>
      </c>
      <c r="BK49" s="348" t="s">
        <v>252</v>
      </c>
      <c r="BL49" s="348" t="s">
        <v>252</v>
      </c>
      <c r="BM49" s="348">
        <v>2872</v>
      </c>
      <c r="BN49" s="348">
        <v>4778</v>
      </c>
      <c r="BO49" s="348" t="s">
        <v>252</v>
      </c>
      <c r="BP49" s="348">
        <v>9701</v>
      </c>
      <c r="BQ49" s="348">
        <v>1648</v>
      </c>
      <c r="BR49" s="374">
        <v>8075</v>
      </c>
      <c r="BS49" s="348">
        <v>3491</v>
      </c>
      <c r="BT49" s="348">
        <v>6045</v>
      </c>
      <c r="BU49" s="348">
        <v>2712</v>
      </c>
      <c r="BV49" s="348">
        <v>5909</v>
      </c>
      <c r="BW49" s="348">
        <v>7827</v>
      </c>
      <c r="BX49" s="348">
        <v>3492</v>
      </c>
      <c r="BY49" s="348">
        <v>4733</v>
      </c>
      <c r="BZ49" s="348">
        <v>4775</v>
      </c>
      <c r="CA49" s="348">
        <v>4480</v>
      </c>
      <c r="CB49" s="374">
        <v>5174</v>
      </c>
      <c r="CC49" s="348">
        <v>20120</v>
      </c>
      <c r="CD49" s="348" t="s">
        <v>252</v>
      </c>
      <c r="CE49" s="348">
        <v>16486</v>
      </c>
      <c r="CF49" s="348" t="s">
        <v>252</v>
      </c>
      <c r="CG49" s="348">
        <v>10366</v>
      </c>
      <c r="CH49" s="348">
        <v>4167</v>
      </c>
      <c r="CI49" s="348">
        <v>4623</v>
      </c>
      <c r="CJ49" s="348">
        <v>5606</v>
      </c>
      <c r="CK49" s="375">
        <v>4076</v>
      </c>
      <c r="CL49" s="376">
        <v>248650</v>
      </c>
    </row>
    <row r="50" spans="1:90">
      <c r="A50" s="93">
        <f>ROWS($A$3:A48)</f>
        <v>46</v>
      </c>
      <c r="B50" s="106" t="s">
        <v>81</v>
      </c>
      <c r="C50" s="242">
        <v>2010</v>
      </c>
      <c r="D50" s="319" t="s">
        <v>22</v>
      </c>
      <c r="E50" s="322">
        <v>40865</v>
      </c>
      <c r="F50" s="377">
        <v>79</v>
      </c>
      <c r="G50" s="181">
        <v>42</v>
      </c>
      <c r="H50" s="181">
        <v>62</v>
      </c>
      <c r="I50" s="373">
        <v>95</v>
      </c>
      <c r="J50" s="181"/>
      <c r="K50" s="156">
        <f t="shared" si="77"/>
        <v>112</v>
      </c>
      <c r="L50" s="177">
        <f t="shared" si="78"/>
        <v>79</v>
      </c>
      <c r="M50" s="177">
        <f t="shared" si="79"/>
        <v>45</v>
      </c>
      <c r="N50" s="177">
        <f t="shared" si="80"/>
        <v>100</v>
      </c>
      <c r="O50" s="177">
        <f t="shared" si="81"/>
        <v>91</v>
      </c>
      <c r="P50" s="183">
        <f>(AZ50*AZ35+BA50*BA35)/P35</f>
        <v>28.416206071250237</v>
      </c>
      <c r="Q50" s="177">
        <f>'2010'!AU50</f>
        <v>53</v>
      </c>
      <c r="R50" s="183">
        <f>(AT50*AT35+AX50*AX35)/R35</f>
        <v>51.062134017942135</v>
      </c>
      <c r="S50" s="177">
        <f t="shared" si="82"/>
        <v>57</v>
      </c>
      <c r="T50" s="177">
        <f t="shared" si="83"/>
        <v>90</v>
      </c>
      <c r="U50" s="179">
        <f t="shared" si="84"/>
        <v>130</v>
      </c>
      <c r="V50" s="183">
        <f>(BG50*BG35+BJ50*BJ35)/V35</f>
        <v>23.90534722655519</v>
      </c>
      <c r="W50" s="177">
        <f t="shared" si="85"/>
        <v>65</v>
      </c>
      <c r="X50" s="183">
        <f>(BH50*BH35+BI50*BI35)/X35</f>
        <v>20.126171268226688</v>
      </c>
      <c r="Y50" s="183">
        <f>(BK50*BK35+BL50*BL35+BN50*BN35)/Y35</f>
        <v>35.713617876677105</v>
      </c>
      <c r="Z50" s="177">
        <f t="shared" si="86"/>
        <v>51</v>
      </c>
      <c r="AA50" s="183">
        <f>(BO50*BO35+BQ50*BQ35)/AA35</f>
        <v>51.08999801547926</v>
      </c>
      <c r="AB50" s="179">
        <f t="shared" si="87"/>
        <v>68</v>
      </c>
      <c r="AC50" s="177">
        <f t="shared" si="88"/>
        <v>73</v>
      </c>
      <c r="AD50" s="177">
        <f t="shared" si="89"/>
        <v>57</v>
      </c>
      <c r="AE50" s="183">
        <f>(BS50*BS35+BT50*BT35)/AE35</f>
        <v>52.281758208039278</v>
      </c>
      <c r="AF50" s="177">
        <f t="shared" si="90"/>
        <v>61</v>
      </c>
      <c r="AG50" s="177">
        <f t="shared" si="91"/>
        <v>50</v>
      </c>
      <c r="AH50" s="177">
        <f t="shared" si="92"/>
        <v>68</v>
      </c>
      <c r="AI50" s="177">
        <f t="shared" si="93"/>
        <v>63</v>
      </c>
      <c r="AJ50" s="177">
        <f t="shared" si="94"/>
        <v>59</v>
      </c>
      <c r="AK50" s="179">
        <f t="shared" si="95"/>
        <v>78</v>
      </c>
      <c r="AL50" s="177">
        <f t="shared" si="96"/>
        <v>42</v>
      </c>
      <c r="AM50" s="177">
        <f t="shared" si="97"/>
        <v>117</v>
      </c>
      <c r="AN50" s="177">
        <f t="shared" si="98"/>
        <v>145</v>
      </c>
      <c r="AO50" s="177">
        <f t="shared" si="99"/>
        <v>66</v>
      </c>
      <c r="AP50" s="177">
        <f t="shared" si="100"/>
        <v>38</v>
      </c>
      <c r="AQ50" s="177">
        <f t="shared" si="101"/>
        <v>75</v>
      </c>
      <c r="AR50" s="177">
        <f t="shared" si="102"/>
        <v>70</v>
      </c>
      <c r="AS50" s="184">
        <f>(CF50*CF35+CG50*CG35)/AS35</f>
        <v>96.105575386491537</v>
      </c>
      <c r="AT50" s="348">
        <v>39</v>
      </c>
      <c r="AU50" s="348">
        <v>53</v>
      </c>
      <c r="AV50" s="348">
        <v>57</v>
      </c>
      <c r="AW50" s="348">
        <v>100</v>
      </c>
      <c r="AX50" s="348">
        <v>52</v>
      </c>
      <c r="AY50" s="348">
        <v>79</v>
      </c>
      <c r="AZ50" s="348">
        <v>8</v>
      </c>
      <c r="BA50" s="348">
        <v>30</v>
      </c>
      <c r="BB50" s="348">
        <v>90</v>
      </c>
      <c r="BC50" s="348">
        <v>130</v>
      </c>
      <c r="BD50" s="348">
        <v>45</v>
      </c>
      <c r="BE50" s="348">
        <v>91</v>
      </c>
      <c r="BF50" s="374">
        <v>112</v>
      </c>
      <c r="BG50" s="348">
        <v>23</v>
      </c>
      <c r="BH50" s="348">
        <v>22</v>
      </c>
      <c r="BI50" s="348">
        <v>20</v>
      </c>
      <c r="BJ50" s="348">
        <v>24</v>
      </c>
      <c r="BK50" s="348">
        <v>35</v>
      </c>
      <c r="BL50" s="348">
        <v>19</v>
      </c>
      <c r="BM50" s="348">
        <v>51</v>
      </c>
      <c r="BN50" s="348">
        <v>37</v>
      </c>
      <c r="BO50" s="348">
        <v>34</v>
      </c>
      <c r="BP50" s="348">
        <v>68</v>
      </c>
      <c r="BQ50" s="348">
        <v>52</v>
      </c>
      <c r="BR50" s="374">
        <v>65</v>
      </c>
      <c r="BS50" s="348">
        <v>28</v>
      </c>
      <c r="BT50" s="348">
        <v>54</v>
      </c>
      <c r="BU50" s="348">
        <v>57</v>
      </c>
      <c r="BV50" s="348">
        <v>50</v>
      </c>
      <c r="BW50" s="348">
        <v>63</v>
      </c>
      <c r="BX50" s="348">
        <v>73</v>
      </c>
      <c r="BY50" s="348">
        <v>59</v>
      </c>
      <c r="BZ50" s="348">
        <v>68</v>
      </c>
      <c r="CA50" s="348">
        <v>61</v>
      </c>
      <c r="CB50" s="374">
        <v>78</v>
      </c>
      <c r="CC50" s="348">
        <v>66</v>
      </c>
      <c r="CD50" s="348">
        <v>38</v>
      </c>
      <c r="CE50" s="348">
        <v>42</v>
      </c>
      <c r="CF50" s="348">
        <v>82</v>
      </c>
      <c r="CG50" s="348">
        <v>97</v>
      </c>
      <c r="CH50" s="348">
        <v>117</v>
      </c>
      <c r="CI50" s="348">
        <v>70</v>
      </c>
      <c r="CJ50" s="348">
        <v>145</v>
      </c>
      <c r="CK50" s="375">
        <v>75</v>
      </c>
      <c r="CL50" s="376">
        <v>75</v>
      </c>
    </row>
    <row r="51" spans="1:90">
      <c r="A51" s="93">
        <f>ROWS($A$3:A49)</f>
        <v>47</v>
      </c>
      <c r="B51" s="62" t="s">
        <v>103</v>
      </c>
      <c r="C51" s="242">
        <v>2010</v>
      </c>
      <c r="D51" s="319" t="s">
        <v>10</v>
      </c>
      <c r="E51" s="322">
        <v>40441</v>
      </c>
      <c r="F51" s="182">
        <f>IF(ISERROR(F95/F42)=TRUE,0,ROUND(F95/F42*1000,0))</f>
        <v>6073</v>
      </c>
      <c r="G51" s="183">
        <f>IF(ISERROR(G95/G42)=TRUE,0,ROUND(G95/G42*1000,0))</f>
        <v>6185</v>
      </c>
      <c r="H51" s="183">
        <f>IF(ISERROR(H95/H42)=TRUE,0,ROUND(H95/H42*1000,0))</f>
        <v>5447</v>
      </c>
      <c r="I51" s="184">
        <f>IF(ISERROR(I95/I42)=TRUE,0,ROUND(I95/I42*1000,0))</f>
        <v>6234</v>
      </c>
      <c r="J51" s="181"/>
      <c r="K51" s="185">
        <f t="shared" si="77"/>
        <v>6605</v>
      </c>
      <c r="L51" s="186">
        <f t="shared" si="78"/>
        <v>6252</v>
      </c>
      <c r="M51" s="186">
        <f t="shared" si="79"/>
        <v>6044</v>
      </c>
      <c r="N51" s="186">
        <f t="shared" si="80"/>
        <v>5432</v>
      </c>
      <c r="O51" s="186">
        <f t="shared" si="81"/>
        <v>5561</v>
      </c>
      <c r="P51" s="183">
        <f>IF(ISERROR(P95/P42)=TRUE,0,ROUND(P95/P42*1000,0))</f>
        <v>6259</v>
      </c>
      <c r="Q51" s="186">
        <f>'2010'!AU51</f>
        <v>5381</v>
      </c>
      <c r="R51" s="183">
        <f>IF(ISERROR(R95/R42)=TRUE,0,ROUND(R95/R42*1000,0))</f>
        <v>6630</v>
      </c>
      <c r="S51" s="186">
        <f t="shared" si="82"/>
        <v>4916</v>
      </c>
      <c r="T51" s="186">
        <f t="shared" si="83"/>
        <v>5707</v>
      </c>
      <c r="U51" s="187">
        <f t="shared" si="84"/>
        <v>6157</v>
      </c>
      <c r="V51" s="183">
        <f>IF(ISERROR(V95/V42)=TRUE,0,ROUND(V95/V42*1000,0))</f>
        <v>5000</v>
      </c>
      <c r="W51" s="186">
        <f t="shared" si="85"/>
        <v>6094</v>
      </c>
      <c r="X51" s="183">
        <f>IF(ISERROR(X95/X42)=TRUE,0,ROUND(X95/X42*1000,0))</f>
        <v>5324</v>
      </c>
      <c r="Y51" s="183">
        <f>IF(ISERROR(Y95/Y42)=TRUE,0,ROUND(Y95/Y42*1000,0))</f>
        <v>6734</v>
      </c>
      <c r="Z51" s="186">
        <f t="shared" si="86"/>
        <v>6358</v>
      </c>
      <c r="AA51" s="183">
        <f>IF(ISERROR(AA95/AA42)=TRUE,0,ROUND(AA95/AA42*1000,0))</f>
        <v>6456</v>
      </c>
      <c r="AB51" s="187">
        <f t="shared" si="87"/>
        <v>6002</v>
      </c>
      <c r="AC51" s="186">
        <f t="shared" si="88"/>
        <v>5211</v>
      </c>
      <c r="AD51" s="186">
        <f t="shared" si="89"/>
        <v>5107</v>
      </c>
      <c r="AE51" s="183">
        <f>IF(ISERROR(AE95/AE42)=TRUE,0,ROUND(AE95/AE42*1000,0))</f>
        <v>5440</v>
      </c>
      <c r="AF51" s="186">
        <f t="shared" si="90"/>
        <v>4749</v>
      </c>
      <c r="AG51" s="186">
        <f t="shared" si="91"/>
        <v>4750</v>
      </c>
      <c r="AH51" s="186">
        <f t="shared" si="92"/>
        <v>6389</v>
      </c>
      <c r="AI51" s="186">
        <f t="shared" si="93"/>
        <v>5278</v>
      </c>
      <c r="AJ51" s="186">
        <f t="shared" si="94"/>
        <v>6087</v>
      </c>
      <c r="AK51" s="187">
        <f t="shared" si="95"/>
        <v>5603</v>
      </c>
      <c r="AL51" s="186">
        <f t="shared" si="96"/>
        <v>6181</v>
      </c>
      <c r="AM51" s="186">
        <f t="shared" si="97"/>
        <v>6152</v>
      </c>
      <c r="AN51" s="186">
        <f t="shared" si="98"/>
        <v>6342</v>
      </c>
      <c r="AO51" s="186">
        <f t="shared" si="99"/>
        <v>6078</v>
      </c>
      <c r="AP51" s="186">
        <f t="shared" si="100"/>
        <v>5746</v>
      </c>
      <c r="AQ51" s="186">
        <f t="shared" si="101"/>
        <v>6068</v>
      </c>
      <c r="AR51" s="186">
        <f t="shared" si="102"/>
        <v>5883</v>
      </c>
      <c r="AS51" s="184">
        <f t="shared" ref="AS51:CL51" si="103">IF(ISERROR(AS95/AS42)=TRUE,0,ROUND(AS95/AS42*1000,0))</f>
        <v>6411</v>
      </c>
      <c r="AT51" s="186">
        <f t="shared" si="103"/>
        <v>0</v>
      </c>
      <c r="AU51" s="183">
        <f t="shared" si="103"/>
        <v>5381</v>
      </c>
      <c r="AV51" s="183">
        <f t="shared" si="103"/>
        <v>4916</v>
      </c>
      <c r="AW51" s="183">
        <f t="shared" si="103"/>
        <v>5432</v>
      </c>
      <c r="AX51" s="183">
        <f t="shared" si="103"/>
        <v>6630</v>
      </c>
      <c r="AY51" s="183">
        <f t="shared" si="103"/>
        <v>6252</v>
      </c>
      <c r="AZ51" s="183">
        <f t="shared" si="103"/>
        <v>0</v>
      </c>
      <c r="BA51" s="183">
        <f t="shared" si="103"/>
        <v>6259</v>
      </c>
      <c r="BB51" s="183">
        <f t="shared" si="103"/>
        <v>5707</v>
      </c>
      <c r="BC51" s="183">
        <f t="shared" si="103"/>
        <v>6157</v>
      </c>
      <c r="BD51" s="183">
        <f t="shared" si="103"/>
        <v>6044</v>
      </c>
      <c r="BE51" s="183">
        <f t="shared" si="103"/>
        <v>5561</v>
      </c>
      <c r="BF51" s="188">
        <f t="shared" si="103"/>
        <v>6605</v>
      </c>
      <c r="BG51" s="183">
        <f t="shared" si="103"/>
        <v>0</v>
      </c>
      <c r="BH51" s="183">
        <f t="shared" si="103"/>
        <v>0</v>
      </c>
      <c r="BI51" s="183">
        <f t="shared" si="103"/>
        <v>5324</v>
      </c>
      <c r="BJ51" s="183">
        <f t="shared" si="103"/>
        <v>5000</v>
      </c>
      <c r="BK51" s="183">
        <f t="shared" si="103"/>
        <v>0</v>
      </c>
      <c r="BL51" s="183">
        <f t="shared" si="103"/>
        <v>0</v>
      </c>
      <c r="BM51" s="183">
        <f t="shared" si="103"/>
        <v>6358</v>
      </c>
      <c r="BN51" s="183">
        <f t="shared" si="103"/>
        <v>6734</v>
      </c>
      <c r="BO51" s="183">
        <f t="shared" si="103"/>
        <v>0</v>
      </c>
      <c r="BP51" s="183">
        <f t="shared" si="103"/>
        <v>6002</v>
      </c>
      <c r="BQ51" s="183">
        <f t="shared" si="103"/>
        <v>6456</v>
      </c>
      <c r="BR51" s="188">
        <f t="shared" si="103"/>
        <v>6094</v>
      </c>
      <c r="BS51" s="183">
        <f t="shared" si="103"/>
        <v>0</v>
      </c>
      <c r="BT51" s="183">
        <f t="shared" si="103"/>
        <v>5489</v>
      </c>
      <c r="BU51" s="183">
        <f t="shared" si="103"/>
        <v>5107</v>
      </c>
      <c r="BV51" s="183">
        <f t="shared" si="103"/>
        <v>4750</v>
      </c>
      <c r="BW51" s="183">
        <f t="shared" si="103"/>
        <v>5278</v>
      </c>
      <c r="BX51" s="183">
        <f t="shared" si="103"/>
        <v>5211</v>
      </c>
      <c r="BY51" s="183">
        <f t="shared" si="103"/>
        <v>6087</v>
      </c>
      <c r="BZ51" s="183">
        <f t="shared" si="103"/>
        <v>6389</v>
      </c>
      <c r="CA51" s="183">
        <f t="shared" si="103"/>
        <v>4749</v>
      </c>
      <c r="CB51" s="188">
        <f t="shared" si="103"/>
        <v>5603</v>
      </c>
      <c r="CC51" s="183">
        <f t="shared" si="103"/>
        <v>6078</v>
      </c>
      <c r="CD51" s="183">
        <f t="shared" si="103"/>
        <v>5746</v>
      </c>
      <c r="CE51" s="183">
        <f t="shared" si="103"/>
        <v>6181</v>
      </c>
      <c r="CF51" s="183">
        <f t="shared" si="103"/>
        <v>0</v>
      </c>
      <c r="CG51" s="183">
        <f t="shared" si="103"/>
        <v>6698</v>
      </c>
      <c r="CH51" s="183">
        <f t="shared" si="103"/>
        <v>6152</v>
      </c>
      <c r="CI51" s="183">
        <f t="shared" si="103"/>
        <v>5883</v>
      </c>
      <c r="CJ51" s="183">
        <f t="shared" si="103"/>
        <v>6342</v>
      </c>
      <c r="CK51" s="184">
        <f t="shared" si="103"/>
        <v>6068</v>
      </c>
      <c r="CL51" s="189">
        <f t="shared" si="103"/>
        <v>6311</v>
      </c>
    </row>
    <row r="52" spans="1:90">
      <c r="A52" s="93">
        <f>ROWS($A$3:A50)</f>
        <v>48</v>
      </c>
      <c r="B52" s="62" t="s">
        <v>104</v>
      </c>
      <c r="C52" s="312"/>
      <c r="D52" s="319" t="s">
        <v>11</v>
      </c>
      <c r="E52" s="322">
        <v>40441</v>
      </c>
      <c r="F52" s="182">
        <f>F96</f>
        <v>617399</v>
      </c>
      <c r="G52" s="183">
        <f>G96</f>
        <v>142781</v>
      </c>
      <c r="H52" s="183">
        <f>H96</f>
        <v>370424</v>
      </c>
      <c r="I52" s="184">
        <f>I96</f>
        <v>1004630</v>
      </c>
      <c r="J52" s="181"/>
      <c r="K52" s="185">
        <f t="shared" si="77"/>
        <v>165837</v>
      </c>
      <c r="L52" s="186">
        <f t="shared" si="78"/>
        <v>41990</v>
      </c>
      <c r="M52" s="186">
        <f t="shared" si="79"/>
        <v>41892</v>
      </c>
      <c r="N52" s="186">
        <f t="shared" si="80"/>
        <v>57563</v>
      </c>
      <c r="O52" s="186">
        <f t="shared" si="81"/>
        <v>44020</v>
      </c>
      <c r="P52" s="186">
        <f>AZ52+BA52</f>
        <v>27398</v>
      </c>
      <c r="Q52" s="186">
        <f>'2009'!AU52</f>
        <v>16912</v>
      </c>
      <c r="R52" s="186">
        <f>AT52+AX52</f>
        <v>28784</v>
      </c>
      <c r="S52" s="186">
        <f t="shared" si="82"/>
        <v>12315</v>
      </c>
      <c r="T52" s="186">
        <f t="shared" si="83"/>
        <v>43221</v>
      </c>
      <c r="U52" s="187">
        <f t="shared" si="84"/>
        <v>135140</v>
      </c>
      <c r="V52" s="186">
        <f>BG52+BJ52</f>
        <v>1905</v>
      </c>
      <c r="W52" s="186">
        <f t="shared" si="85"/>
        <v>23030</v>
      </c>
      <c r="X52" s="186">
        <f>BH52+BI52</f>
        <v>6427</v>
      </c>
      <c r="Y52" s="186">
        <f>BK52+BL52+BN52</f>
        <v>23865</v>
      </c>
      <c r="Z52" s="186">
        <f t="shared" si="86"/>
        <v>47945</v>
      </c>
      <c r="AA52" s="186">
        <f>BO52+BQ52</f>
        <v>18570</v>
      </c>
      <c r="AB52" s="187">
        <f t="shared" si="87"/>
        <v>21039</v>
      </c>
      <c r="AC52" s="186">
        <f t="shared" si="88"/>
        <v>64945</v>
      </c>
      <c r="AD52" s="186">
        <f t="shared" si="89"/>
        <v>18303</v>
      </c>
      <c r="AE52" s="186">
        <f>BS52+BT52</f>
        <v>56256</v>
      </c>
      <c r="AF52" s="186">
        <f t="shared" si="90"/>
        <v>17921</v>
      </c>
      <c r="AG52" s="186">
        <f t="shared" si="91"/>
        <v>38783</v>
      </c>
      <c r="AH52" s="186">
        <f t="shared" si="92"/>
        <v>56430</v>
      </c>
      <c r="AI52" s="186">
        <f t="shared" si="93"/>
        <v>26870</v>
      </c>
      <c r="AJ52" s="186">
        <f t="shared" si="94"/>
        <v>32882</v>
      </c>
      <c r="AK52" s="187">
        <f t="shared" si="95"/>
        <v>58034</v>
      </c>
      <c r="AL52" s="186">
        <f t="shared" si="96"/>
        <v>21184</v>
      </c>
      <c r="AM52" s="186">
        <f t="shared" si="97"/>
        <v>217098</v>
      </c>
      <c r="AN52" s="186">
        <f t="shared" si="98"/>
        <v>443864</v>
      </c>
      <c r="AO52" s="186">
        <f t="shared" si="99"/>
        <v>49804</v>
      </c>
      <c r="AP52" s="186">
        <f t="shared" si="100"/>
        <v>9156</v>
      </c>
      <c r="AQ52" s="186">
        <f t="shared" si="101"/>
        <v>78000</v>
      </c>
      <c r="AR52" s="186">
        <f t="shared" si="102"/>
        <v>61951</v>
      </c>
      <c r="AS52" s="190">
        <f>CF52+CG52</f>
        <v>123573</v>
      </c>
      <c r="AT52" s="186">
        <v>0</v>
      </c>
      <c r="AU52" s="183">
        <f t="shared" ref="AU52:BF52" si="104">AU96</f>
        <v>17142</v>
      </c>
      <c r="AV52" s="183">
        <f t="shared" si="104"/>
        <v>12315</v>
      </c>
      <c r="AW52" s="183">
        <f t="shared" si="104"/>
        <v>57563</v>
      </c>
      <c r="AX52" s="183">
        <f t="shared" si="104"/>
        <v>28784</v>
      </c>
      <c r="AY52" s="183">
        <f t="shared" si="104"/>
        <v>41990</v>
      </c>
      <c r="AZ52" s="183">
        <f t="shared" si="104"/>
        <v>1352</v>
      </c>
      <c r="BA52" s="183">
        <f t="shared" si="104"/>
        <v>26046</v>
      </c>
      <c r="BB52" s="183">
        <f t="shared" si="104"/>
        <v>43221</v>
      </c>
      <c r="BC52" s="183">
        <f t="shared" si="104"/>
        <v>135140</v>
      </c>
      <c r="BD52" s="183">
        <f t="shared" si="104"/>
        <v>41892</v>
      </c>
      <c r="BE52" s="183">
        <f t="shared" si="104"/>
        <v>44020</v>
      </c>
      <c r="BF52" s="188">
        <f t="shared" si="104"/>
        <v>165837</v>
      </c>
      <c r="BG52" s="183">
        <v>0</v>
      </c>
      <c r="BH52" s="183">
        <f t="shared" ref="BH52:CK52" si="105">BH96</f>
        <v>0</v>
      </c>
      <c r="BI52" s="183">
        <f t="shared" si="105"/>
        <v>6427</v>
      </c>
      <c r="BJ52" s="183">
        <f t="shared" si="105"/>
        <v>1905</v>
      </c>
      <c r="BK52" s="183">
        <f t="shared" si="105"/>
        <v>1079</v>
      </c>
      <c r="BL52" s="183">
        <f t="shared" si="105"/>
        <v>54</v>
      </c>
      <c r="BM52" s="183">
        <f t="shared" si="105"/>
        <v>47945</v>
      </c>
      <c r="BN52" s="183">
        <f t="shared" si="105"/>
        <v>22732</v>
      </c>
      <c r="BO52" s="183">
        <f t="shared" si="105"/>
        <v>181</v>
      </c>
      <c r="BP52" s="183">
        <f t="shared" si="105"/>
        <v>21039</v>
      </c>
      <c r="BQ52" s="183">
        <f t="shared" si="105"/>
        <v>18389</v>
      </c>
      <c r="BR52" s="188">
        <f t="shared" si="105"/>
        <v>23030</v>
      </c>
      <c r="BS52" s="183">
        <f t="shared" si="105"/>
        <v>0</v>
      </c>
      <c r="BT52" s="183">
        <f t="shared" si="105"/>
        <v>56256</v>
      </c>
      <c r="BU52" s="183">
        <f t="shared" si="105"/>
        <v>18303</v>
      </c>
      <c r="BV52" s="183">
        <f t="shared" si="105"/>
        <v>38783</v>
      </c>
      <c r="BW52" s="183">
        <f t="shared" si="105"/>
        <v>26870</v>
      </c>
      <c r="BX52" s="183">
        <f t="shared" si="105"/>
        <v>64945</v>
      </c>
      <c r="BY52" s="183">
        <f t="shared" si="105"/>
        <v>32882</v>
      </c>
      <c r="BZ52" s="183">
        <f t="shared" si="105"/>
        <v>56430</v>
      </c>
      <c r="CA52" s="183">
        <f t="shared" si="105"/>
        <v>17921</v>
      </c>
      <c r="CB52" s="188">
        <f t="shared" si="105"/>
        <v>58034</v>
      </c>
      <c r="CC52" s="183">
        <f t="shared" si="105"/>
        <v>49804</v>
      </c>
      <c r="CD52" s="183">
        <f t="shared" si="105"/>
        <v>9156</v>
      </c>
      <c r="CE52" s="183">
        <f t="shared" si="105"/>
        <v>21184</v>
      </c>
      <c r="CF52" s="183">
        <f t="shared" si="105"/>
        <v>6090</v>
      </c>
      <c r="CG52" s="183">
        <f t="shared" si="105"/>
        <v>117483</v>
      </c>
      <c r="CH52" s="183">
        <f t="shared" si="105"/>
        <v>217098</v>
      </c>
      <c r="CI52" s="183">
        <f t="shared" si="105"/>
        <v>61951</v>
      </c>
      <c r="CJ52" s="183">
        <f t="shared" si="105"/>
        <v>443864</v>
      </c>
      <c r="CK52" s="184">
        <f t="shared" si="105"/>
        <v>78000</v>
      </c>
      <c r="CL52" s="189">
        <v>2117936</v>
      </c>
    </row>
    <row r="53" spans="1:90">
      <c r="A53" s="93">
        <f>ROWS($A$3:A51)</f>
        <v>49</v>
      </c>
      <c r="B53" s="62" t="str">
        <f>"Änderung der Milchanlieferung "&amp;C51&amp;" / "&amp;C97</f>
        <v>Änderung der Milchanlieferung 2010 / 2001</v>
      </c>
      <c r="C53" s="312"/>
      <c r="D53" s="319" t="s">
        <v>4</v>
      </c>
      <c r="E53" s="322">
        <v>40441</v>
      </c>
      <c r="F53" s="207">
        <f>IF(F52=0,0,(F52-F98)/F98%)</f>
        <v>-0.23688526576878643</v>
      </c>
      <c r="G53" s="208">
        <f>IF(G52=0,0,(G52-G98)/G98%)</f>
        <v>-4.1899010233182352</v>
      </c>
      <c r="H53" s="208">
        <f>IF(H52=0,0,(H52-H98)/H98%)</f>
        <v>1.0436499926349843</v>
      </c>
      <c r="I53" s="209">
        <f>IF(I52=0,0,(I52-I98)/I98%)</f>
        <v>-0.46141484037741493</v>
      </c>
      <c r="J53" s="213"/>
      <c r="K53" s="218">
        <f t="shared" si="77"/>
        <v>10.035697223844155</v>
      </c>
      <c r="L53" s="219">
        <f t="shared" si="78"/>
        <v>-1.9154403176827843</v>
      </c>
      <c r="M53" s="219">
        <f t="shared" si="79"/>
        <v>-8.8729851428074227</v>
      </c>
      <c r="N53" s="219">
        <f t="shared" si="80"/>
        <v>-0.32726139354481232</v>
      </c>
      <c r="O53" s="219">
        <f t="shared" si="81"/>
        <v>4.5630537542459439</v>
      </c>
      <c r="P53" s="208">
        <f>(P52-P98)/P98%</f>
        <v>-20.178300897331312</v>
      </c>
      <c r="Q53" s="219">
        <f>'2010'!AU53</f>
        <v>-7.0239192927265819</v>
      </c>
      <c r="R53" s="208">
        <f>(R52-R98)/R98%</f>
        <v>-9.1987381703470028</v>
      </c>
      <c r="S53" s="219">
        <f t="shared" si="82"/>
        <v>-15.892637617811776</v>
      </c>
      <c r="T53" s="219">
        <f t="shared" si="83"/>
        <v>-3.9682716021952142</v>
      </c>
      <c r="U53" s="220">
        <f t="shared" si="84"/>
        <v>-0.20013145165459234</v>
      </c>
      <c r="V53" s="208">
        <f>(V52-V98)/V98%</f>
        <v>-32.326820603907642</v>
      </c>
      <c r="W53" s="219">
        <f t="shared" si="85"/>
        <v>4.3781725888324878</v>
      </c>
      <c r="X53" s="208">
        <f>(X52-X98)/X98%</f>
        <v>-27.098457350272234</v>
      </c>
      <c r="Y53" s="208">
        <f>(Y52-Y98)/Y98%</f>
        <v>-7.8713712168004939</v>
      </c>
      <c r="Z53" s="219">
        <f t="shared" si="86"/>
        <v>-7.3526570048309177</v>
      </c>
      <c r="AA53" s="208">
        <f>(AA52-AA98)/AA98%</f>
        <v>14.51652688702516</v>
      </c>
      <c r="AB53" s="220">
        <f t="shared" si="87"/>
        <v>-1.9617893755824791</v>
      </c>
      <c r="AC53" s="219">
        <f t="shared" si="88"/>
        <v>5.1094063572214674</v>
      </c>
      <c r="AD53" s="219">
        <f t="shared" si="89"/>
        <v>-5.8874948580830937</v>
      </c>
      <c r="AE53" s="208">
        <f>(AE52-AE98)/AE98%</f>
        <v>1.8521536038238009</v>
      </c>
      <c r="AF53" s="219">
        <f t="shared" si="90"/>
        <v>-10.192934101728889</v>
      </c>
      <c r="AG53" s="219">
        <f t="shared" si="91"/>
        <v>-12.933279454022989</v>
      </c>
      <c r="AH53" s="219">
        <f t="shared" si="92"/>
        <v>5.2739585470962451</v>
      </c>
      <c r="AI53" s="219">
        <f t="shared" si="93"/>
        <v>-8.6178751190314244</v>
      </c>
      <c r="AJ53" s="219">
        <f t="shared" si="94"/>
        <v>15.302615891717512</v>
      </c>
      <c r="AK53" s="220">
        <f t="shared" si="95"/>
        <v>7.2618057480824332</v>
      </c>
      <c r="AL53" s="219">
        <f t="shared" si="96"/>
        <v>11.447811447811446</v>
      </c>
      <c r="AM53" s="219">
        <f t="shared" si="97"/>
        <v>-1.3150537976553587</v>
      </c>
      <c r="AN53" s="219">
        <f t="shared" si="98"/>
        <v>1.4240274934191286</v>
      </c>
      <c r="AO53" s="219">
        <f t="shared" si="99"/>
        <v>-4.1604125774544896</v>
      </c>
      <c r="AP53" s="219">
        <f t="shared" si="100"/>
        <v>-3.0392883617494437</v>
      </c>
      <c r="AQ53" s="219">
        <f t="shared" si="101"/>
        <v>-2.6496761229609476</v>
      </c>
      <c r="AR53" s="219">
        <f t="shared" si="102"/>
        <v>-13.446035626964722</v>
      </c>
      <c r="AS53" s="209">
        <f>(AS52-AS98)/AS98%</f>
        <v>3.3659838225330199</v>
      </c>
      <c r="AT53" s="219">
        <f t="shared" ref="AT53:CK53" si="106">IF(AT52=0,0,(AT52-AT98)/AT98%)</f>
        <v>0</v>
      </c>
      <c r="AU53" s="208">
        <f t="shared" si="106"/>
        <v>-7.0239192927265819</v>
      </c>
      <c r="AV53" s="208">
        <f t="shared" si="106"/>
        <v>-15.892637617811776</v>
      </c>
      <c r="AW53" s="208">
        <f t="shared" si="106"/>
        <v>-0.32726139354481232</v>
      </c>
      <c r="AX53" s="208">
        <f t="shared" si="106"/>
        <v>-2.5493448894606763</v>
      </c>
      <c r="AY53" s="208">
        <f t="shared" si="106"/>
        <v>-1.9154403176827843</v>
      </c>
      <c r="AZ53" s="208">
        <f t="shared" si="106"/>
        <v>62.5</v>
      </c>
      <c r="BA53" s="208">
        <f t="shared" si="106"/>
        <v>-22.232174847724828</v>
      </c>
      <c r="BB53" s="208">
        <f t="shared" si="106"/>
        <v>-3.9682716021952142</v>
      </c>
      <c r="BC53" s="208">
        <f t="shared" si="106"/>
        <v>-0.20013145165459234</v>
      </c>
      <c r="BD53" s="208">
        <f t="shared" si="106"/>
        <v>-8.8729851428074227</v>
      </c>
      <c r="BE53" s="208">
        <f t="shared" si="106"/>
        <v>4.5630537542459439</v>
      </c>
      <c r="BF53" s="216">
        <f t="shared" si="106"/>
        <v>10.035697223844155</v>
      </c>
      <c r="BG53" s="208">
        <f t="shared" si="106"/>
        <v>0</v>
      </c>
      <c r="BH53" s="208">
        <f t="shared" si="106"/>
        <v>0</v>
      </c>
      <c r="BI53" s="208">
        <f t="shared" si="106"/>
        <v>-22.715247715247717</v>
      </c>
      <c r="BJ53" s="208">
        <f t="shared" si="106"/>
        <v>-32.326820603907642</v>
      </c>
      <c r="BK53" s="208">
        <f t="shared" si="106"/>
        <v>-34.882317441158719</v>
      </c>
      <c r="BL53" s="208">
        <f t="shared" si="106"/>
        <v>-66.871165644171782</v>
      </c>
      <c r="BM53" s="208">
        <f t="shared" si="106"/>
        <v>-7.3526570048309177</v>
      </c>
      <c r="BN53" s="208">
        <f t="shared" si="106"/>
        <v>-5.6136854343132372</v>
      </c>
      <c r="BO53" s="208">
        <f t="shared" si="106"/>
        <v>-62.054507337526211</v>
      </c>
      <c r="BP53" s="208">
        <f t="shared" si="106"/>
        <v>-1.9617893755824791</v>
      </c>
      <c r="BQ53" s="208">
        <f t="shared" si="106"/>
        <v>16.83715610902853</v>
      </c>
      <c r="BR53" s="216">
        <f t="shared" si="106"/>
        <v>4.3781725888324878</v>
      </c>
      <c r="BS53" s="208">
        <f t="shared" si="106"/>
        <v>0</v>
      </c>
      <c r="BT53" s="208">
        <f t="shared" si="106"/>
        <v>1.8521536038238009</v>
      </c>
      <c r="BU53" s="208">
        <f t="shared" si="106"/>
        <v>-5.8874948580830937</v>
      </c>
      <c r="BV53" s="208">
        <f t="shared" si="106"/>
        <v>-12.933279454022989</v>
      </c>
      <c r="BW53" s="208">
        <f t="shared" si="106"/>
        <v>-8.6178751190314244</v>
      </c>
      <c r="BX53" s="208">
        <f t="shared" si="106"/>
        <v>5.1094063572214674</v>
      </c>
      <c r="BY53" s="208">
        <f t="shared" si="106"/>
        <v>15.302615891717512</v>
      </c>
      <c r="BZ53" s="208">
        <f t="shared" si="106"/>
        <v>5.2739585470962451</v>
      </c>
      <c r="CA53" s="208">
        <f t="shared" si="106"/>
        <v>-10.192934101728889</v>
      </c>
      <c r="CB53" s="216">
        <f t="shared" si="106"/>
        <v>7.2618057480824332</v>
      </c>
      <c r="CC53" s="208">
        <f t="shared" si="106"/>
        <v>-4.1604125774544896</v>
      </c>
      <c r="CD53" s="208">
        <f t="shared" si="106"/>
        <v>-3.0392883617494437</v>
      </c>
      <c r="CE53" s="208">
        <f t="shared" si="106"/>
        <v>11.447811447811446</v>
      </c>
      <c r="CF53" s="208">
        <f t="shared" si="106"/>
        <v>-1.0560519902518277</v>
      </c>
      <c r="CG53" s="208">
        <f t="shared" si="106"/>
        <v>3.6060109000476213</v>
      </c>
      <c r="CH53" s="208">
        <f t="shared" si="106"/>
        <v>-1.3150537976553587</v>
      </c>
      <c r="CI53" s="208">
        <f t="shared" si="106"/>
        <v>-13.446035626964722</v>
      </c>
      <c r="CJ53" s="208">
        <f t="shared" si="106"/>
        <v>1.4240274934191286</v>
      </c>
      <c r="CK53" s="209">
        <f t="shared" si="106"/>
        <v>-2.6496761229609476</v>
      </c>
      <c r="CL53" s="217">
        <v>0.53</v>
      </c>
    </row>
    <row r="54" spans="1:90">
      <c r="A54" s="93">
        <f>ROWS($A$3:A52)</f>
        <v>50</v>
      </c>
      <c r="B54" s="107" t="str">
        <f>"Änderung Anzahl Milchkühe "&amp;C51&amp;" / "&amp;C97</f>
        <v>Änderung Anzahl Milchkühe 2010 / 2001</v>
      </c>
      <c r="C54" s="313"/>
      <c r="D54" s="324" t="s">
        <v>4</v>
      </c>
      <c r="E54" s="325">
        <v>40441</v>
      </c>
      <c r="F54" s="221">
        <f>IF(ISERROR(F42/F97)=FALSE,ROUND((F42-F97)/F97%,3)," -")</f>
        <v>-17.181000000000001</v>
      </c>
      <c r="G54" s="222">
        <f>IF(ISERROR(G42/G97)=FALSE,ROUND((G42-G97)/G97%,3)," -")</f>
        <v>-24.346</v>
      </c>
      <c r="H54" s="222">
        <f>IF(ISERROR(H42/H97)=FALSE,ROUND((H42-H97)/H97%,3)," -")</f>
        <v>-17.157</v>
      </c>
      <c r="I54" s="223">
        <f>IF(ISERROR(I42/I97)=FALSE,ROUND((I42-I97)/I97%,3)," -")</f>
        <v>-13.728</v>
      </c>
      <c r="J54" s="346"/>
      <c r="K54" s="224">
        <f t="shared" si="77"/>
        <v>-13.56</v>
      </c>
      <c r="L54" s="225">
        <f t="shared" si="78"/>
        <v>-22.523</v>
      </c>
      <c r="M54" s="225">
        <f t="shared" si="79"/>
        <v>-28.143000000000001</v>
      </c>
      <c r="N54" s="225">
        <f t="shared" si="80"/>
        <v>-12.768000000000001</v>
      </c>
      <c r="O54" s="225">
        <f t="shared" si="81"/>
        <v>-10.920999999999999</v>
      </c>
      <c r="P54" s="222">
        <f>IF(ISERROR(P42/P97)=FALSE,ROUND((P42-P97)/P97%,3)," -")</f>
        <v>-35.140999999999998</v>
      </c>
      <c r="Q54" s="225">
        <f>'2010'!AU54</f>
        <v>-11.624000000000001</v>
      </c>
      <c r="R54" s="222">
        <f>IF(ISERROR(R42/R97)=FALSE,ROUND((R42-R97)/R97%,3)," -")</f>
        <v>-31.687000000000001</v>
      </c>
      <c r="S54" s="225">
        <f t="shared" si="82"/>
        <v>-30.442</v>
      </c>
      <c r="T54" s="225">
        <f t="shared" si="83"/>
        <v>-16.346</v>
      </c>
      <c r="U54" s="226">
        <f t="shared" si="84"/>
        <v>-12.271000000000001</v>
      </c>
      <c r="V54" s="222">
        <f>IF(ISERROR(V42/V97)=FALSE,ROUND((V42-V97)/V97%,3)," -")</f>
        <v>-48.158000000000001</v>
      </c>
      <c r="W54" s="225">
        <f t="shared" si="85"/>
        <v>-20.446999999999999</v>
      </c>
      <c r="X54" s="222">
        <f>IF(ISERROR(X42/X97)=FALSE,ROUND((X42-X97)/X97%,3)," -")</f>
        <v>-42.816000000000003</v>
      </c>
      <c r="Y54" s="222">
        <f>IF(ISERROR(Y42/Y97)=FALSE,ROUND((Y42-Y97)/Y97%,3)," -")</f>
        <v>-34.86</v>
      </c>
      <c r="Z54" s="225">
        <f t="shared" si="86"/>
        <v>-22.434000000000001</v>
      </c>
      <c r="AA54" s="222">
        <f>IF(ISERROR(AA42/AA97)=FALSE,ROUND((AA42-AA97)/AA97%,3)," -")</f>
        <v>-12.75</v>
      </c>
      <c r="AB54" s="226">
        <f t="shared" si="87"/>
        <v>-21.722999999999999</v>
      </c>
      <c r="AC54" s="225">
        <f t="shared" si="88"/>
        <v>-9.18</v>
      </c>
      <c r="AD54" s="225">
        <f t="shared" si="89"/>
        <v>-21.716999999999999</v>
      </c>
      <c r="AE54" s="222">
        <f>IF(ISERROR(AE42/AE97)=FALSE,ROUND((AE42-AE97)/AE97%,3)," -")</f>
        <v>-17.702000000000002</v>
      </c>
      <c r="AF54" s="225">
        <f t="shared" si="90"/>
        <v>-25.792000000000002</v>
      </c>
      <c r="AG54" s="225">
        <f t="shared" si="91"/>
        <v>-28.2</v>
      </c>
      <c r="AH54" s="225">
        <f t="shared" si="92"/>
        <v>-14.191000000000001</v>
      </c>
      <c r="AI54" s="225">
        <f t="shared" si="93"/>
        <v>-26.83</v>
      </c>
      <c r="AJ54" s="225">
        <f t="shared" si="94"/>
        <v>-4.657</v>
      </c>
      <c r="AK54" s="226">
        <f t="shared" si="95"/>
        <v>-12.62</v>
      </c>
      <c r="AL54" s="225">
        <f t="shared" si="96"/>
        <v>-6.8440000000000003</v>
      </c>
      <c r="AM54" s="225">
        <f t="shared" si="97"/>
        <v>-11.881</v>
      </c>
      <c r="AN54" s="225">
        <f t="shared" si="98"/>
        <v>-10.108000000000001</v>
      </c>
      <c r="AO54" s="225">
        <f t="shared" si="99"/>
        <v>-21.686</v>
      </c>
      <c r="AP54" s="225">
        <f t="shared" si="100"/>
        <v>-26.827999999999999</v>
      </c>
      <c r="AQ54" s="225">
        <f t="shared" si="101"/>
        <v>-19.913</v>
      </c>
      <c r="AR54" s="225">
        <f t="shared" si="102"/>
        <v>-20.388000000000002</v>
      </c>
      <c r="AS54" s="223">
        <f>IF(ISERROR(AS42/AS97)=FALSE,ROUND((AS42-AS97)/AS97%,3)," -")</f>
        <v>-17.242999999999999</v>
      </c>
      <c r="AT54" s="225" t="str">
        <f>IF(ISERROR(AT42/AT97)=FALSE,ROUND((AT42-AT97)/AT97%,3)," -")</f>
        <v xml:space="preserve"> -</v>
      </c>
      <c r="AU54" s="222">
        <f t="shared" ref="AU54:CL54" si="107">IF(ISERROR(AU42/AU97)=FALSE,ROUND((AU42-AU97)/AU97%,3)," -")</f>
        <v>-11.624000000000001</v>
      </c>
      <c r="AV54" s="222">
        <f t="shared" si="107"/>
        <v>-30.442</v>
      </c>
      <c r="AW54" s="222">
        <f t="shared" si="107"/>
        <v>-12.768000000000001</v>
      </c>
      <c r="AX54" s="222">
        <f t="shared" si="107"/>
        <v>-26.009</v>
      </c>
      <c r="AY54" s="222">
        <f t="shared" si="107"/>
        <v>-22.523</v>
      </c>
      <c r="AZ54" s="222" t="str">
        <f t="shared" si="107"/>
        <v xml:space="preserve"> -</v>
      </c>
      <c r="BA54" s="222">
        <f t="shared" si="107"/>
        <v>-32.479999999999997</v>
      </c>
      <c r="BB54" s="222">
        <f t="shared" si="107"/>
        <v>-16.346</v>
      </c>
      <c r="BC54" s="222">
        <f t="shared" si="107"/>
        <v>-12.271000000000001</v>
      </c>
      <c r="BD54" s="222">
        <f t="shared" si="107"/>
        <v>-28.143000000000001</v>
      </c>
      <c r="BE54" s="222">
        <f t="shared" si="107"/>
        <v>-10.920999999999999</v>
      </c>
      <c r="BF54" s="227">
        <f t="shared" si="107"/>
        <v>-13.56</v>
      </c>
      <c r="BG54" s="222" t="str">
        <f t="shared" si="107"/>
        <v xml:space="preserve"> -</v>
      </c>
      <c r="BH54" s="222" t="str">
        <f t="shared" si="107"/>
        <v xml:space="preserve"> -</v>
      </c>
      <c r="BI54" s="222">
        <f t="shared" si="107"/>
        <v>-39.567999999999998</v>
      </c>
      <c r="BJ54" s="222">
        <f t="shared" si="107"/>
        <v>-48.158000000000001</v>
      </c>
      <c r="BK54" s="222" t="str">
        <f t="shared" si="107"/>
        <v xml:space="preserve"> -</v>
      </c>
      <c r="BL54" s="222" t="str">
        <f t="shared" si="107"/>
        <v xml:space="preserve"> -</v>
      </c>
      <c r="BM54" s="222">
        <f t="shared" si="107"/>
        <v>-22.434000000000001</v>
      </c>
      <c r="BN54" s="222">
        <f t="shared" si="107"/>
        <v>-30.922000000000001</v>
      </c>
      <c r="BO54" s="222" t="str">
        <f t="shared" si="107"/>
        <v xml:space="preserve"> -</v>
      </c>
      <c r="BP54" s="222">
        <f t="shared" si="107"/>
        <v>-21.722999999999999</v>
      </c>
      <c r="BQ54" s="222">
        <f t="shared" si="107"/>
        <v>-9.6579999999999995</v>
      </c>
      <c r="BR54" s="227">
        <f t="shared" si="107"/>
        <v>-20.446999999999999</v>
      </c>
      <c r="BS54" s="222" t="str">
        <f t="shared" si="107"/>
        <v xml:space="preserve"> -</v>
      </c>
      <c r="BT54" s="222">
        <f t="shared" si="107"/>
        <v>-18.440999999999999</v>
      </c>
      <c r="BU54" s="222">
        <f t="shared" si="107"/>
        <v>-21.716999999999999</v>
      </c>
      <c r="BV54" s="222">
        <f t="shared" si="107"/>
        <v>-28.2</v>
      </c>
      <c r="BW54" s="222">
        <f t="shared" si="107"/>
        <v>-26.83</v>
      </c>
      <c r="BX54" s="222">
        <f t="shared" si="107"/>
        <v>-9.18</v>
      </c>
      <c r="BY54" s="222">
        <f t="shared" si="107"/>
        <v>-4.657</v>
      </c>
      <c r="BZ54" s="222">
        <f t="shared" si="107"/>
        <v>-14.191000000000001</v>
      </c>
      <c r="CA54" s="222">
        <f t="shared" si="107"/>
        <v>-25.792000000000002</v>
      </c>
      <c r="CB54" s="227">
        <f t="shared" si="107"/>
        <v>-12.62</v>
      </c>
      <c r="CC54" s="222">
        <f t="shared" si="107"/>
        <v>-21.686</v>
      </c>
      <c r="CD54" s="222">
        <f t="shared" si="107"/>
        <v>-26.827999999999999</v>
      </c>
      <c r="CE54" s="222">
        <f t="shared" si="107"/>
        <v>-6.8440000000000003</v>
      </c>
      <c r="CF54" s="222">
        <f t="shared" si="107"/>
        <v>-17.465</v>
      </c>
      <c r="CG54" s="222">
        <f t="shared" si="107"/>
        <v>-17.233000000000001</v>
      </c>
      <c r="CH54" s="222">
        <f t="shared" si="107"/>
        <v>-11.881</v>
      </c>
      <c r="CI54" s="222">
        <f t="shared" si="107"/>
        <v>-20.388000000000002</v>
      </c>
      <c r="CJ54" s="222">
        <f t="shared" si="107"/>
        <v>-10.108000000000001</v>
      </c>
      <c r="CK54" s="223">
        <f t="shared" si="107"/>
        <v>-19.913</v>
      </c>
      <c r="CL54" s="228">
        <f t="shared" si="107"/>
        <v>-16.161000000000001</v>
      </c>
    </row>
    <row r="55" spans="1:90" ht="14.25">
      <c r="A55" s="93">
        <f>ROWS($A$3:A53)</f>
        <v>51</v>
      </c>
      <c r="B55" s="67" t="s">
        <v>224</v>
      </c>
      <c r="C55" s="243"/>
      <c r="D55" s="319"/>
      <c r="E55" s="320"/>
      <c r="F55" s="156"/>
      <c r="G55" s="177"/>
      <c r="H55" s="177"/>
      <c r="I55" s="178"/>
      <c r="J55" s="181"/>
      <c r="K55" s="156"/>
      <c r="L55" s="177"/>
      <c r="M55" s="177"/>
      <c r="N55" s="177"/>
      <c r="O55" s="177"/>
      <c r="P55" s="177"/>
      <c r="Q55" s="177"/>
      <c r="R55" s="177"/>
      <c r="S55" s="177"/>
      <c r="T55" s="177"/>
      <c r="U55" s="179"/>
      <c r="V55" s="177"/>
      <c r="W55" s="177"/>
      <c r="X55" s="177"/>
      <c r="Y55" s="177"/>
      <c r="Z55" s="177"/>
      <c r="AA55" s="177"/>
      <c r="AB55" s="179"/>
      <c r="AC55" s="177"/>
      <c r="AD55" s="177"/>
      <c r="AE55" s="177"/>
      <c r="AF55" s="177"/>
      <c r="AG55" s="177"/>
      <c r="AH55" s="177"/>
      <c r="AI55" s="177"/>
      <c r="AJ55" s="177"/>
      <c r="AK55" s="179"/>
      <c r="AL55" s="177"/>
      <c r="AM55" s="177"/>
      <c r="AN55" s="177"/>
      <c r="AO55" s="177"/>
      <c r="AP55" s="177"/>
      <c r="AQ55" s="177"/>
      <c r="AR55" s="177"/>
      <c r="AS55" s="178"/>
      <c r="AT55" s="177"/>
      <c r="AU55" s="177"/>
      <c r="AV55" s="177"/>
      <c r="AW55" s="177"/>
      <c r="AX55" s="177"/>
      <c r="AY55" s="177"/>
      <c r="AZ55" s="177"/>
      <c r="BA55" s="177"/>
      <c r="BB55" s="177"/>
      <c r="BC55" s="177"/>
      <c r="BD55" s="177"/>
      <c r="BE55" s="177"/>
      <c r="BF55" s="179"/>
      <c r="BG55" s="177"/>
      <c r="BH55" s="177"/>
      <c r="BI55" s="177"/>
      <c r="BJ55" s="177"/>
      <c r="BK55" s="177"/>
      <c r="BL55" s="177"/>
      <c r="BM55" s="177"/>
      <c r="BN55" s="177"/>
      <c r="BO55" s="177"/>
      <c r="BP55" s="177"/>
      <c r="BQ55" s="177"/>
      <c r="BR55" s="179"/>
      <c r="BS55" s="177"/>
      <c r="BT55" s="177"/>
      <c r="BU55" s="177"/>
      <c r="BV55" s="177"/>
      <c r="BW55" s="177"/>
      <c r="BX55" s="177"/>
      <c r="BY55" s="177"/>
      <c r="BZ55" s="177"/>
      <c r="CA55" s="177"/>
      <c r="CB55" s="179"/>
      <c r="CC55" s="177"/>
      <c r="CD55" s="177"/>
      <c r="CE55" s="177"/>
      <c r="CF55" s="177"/>
      <c r="CG55" s="177"/>
      <c r="CH55" s="177"/>
      <c r="CI55" s="177"/>
      <c r="CJ55" s="177"/>
      <c r="CK55" s="178"/>
      <c r="CL55" s="180"/>
    </row>
    <row r="56" spans="1:90">
      <c r="A56" s="93">
        <f>ROWS($A$3:A54)</f>
        <v>52</v>
      </c>
      <c r="B56" s="106" t="s">
        <v>57</v>
      </c>
      <c r="C56" s="242">
        <v>2010</v>
      </c>
      <c r="D56" s="319" t="s">
        <v>14</v>
      </c>
      <c r="E56" s="322">
        <v>40695</v>
      </c>
      <c r="F56" s="156">
        <v>272</v>
      </c>
      <c r="G56" s="177">
        <v>240</v>
      </c>
      <c r="H56" s="177">
        <v>280</v>
      </c>
      <c r="I56" s="178">
        <v>316</v>
      </c>
      <c r="J56" s="181"/>
      <c r="K56" s="156">
        <f t="shared" ref="K56:K63" si="108">BF56</f>
        <v>42</v>
      </c>
      <c r="L56" s="177">
        <f t="shared" ref="L56:L63" si="109">AY56</f>
        <v>26</v>
      </c>
      <c r="M56" s="177">
        <f t="shared" ref="M56:M63" si="110">BD56</f>
        <v>35</v>
      </c>
      <c r="N56" s="177">
        <f t="shared" ref="N56:N63" si="111">AW56</f>
        <v>19</v>
      </c>
      <c r="O56" s="177">
        <f t="shared" ref="O56:O63" si="112">BE56</f>
        <v>12</v>
      </c>
      <c r="P56" s="177">
        <f t="shared" ref="P56:P63" si="113">AZ56+BA56</f>
        <v>25</v>
      </c>
      <c r="Q56" s="177">
        <f>'2010'!AU56</f>
        <v>19</v>
      </c>
      <c r="R56" s="177">
        <f t="shared" ref="R56:R63" si="114">AT56+AX56</f>
        <v>27</v>
      </c>
      <c r="S56" s="177">
        <f t="shared" ref="S56:S63" si="115">AV56</f>
        <v>28</v>
      </c>
      <c r="T56" s="177">
        <f t="shared" ref="T56:U63" si="116">BB56</f>
        <v>21</v>
      </c>
      <c r="U56" s="179">
        <f t="shared" si="116"/>
        <v>18</v>
      </c>
      <c r="V56" s="177">
        <f t="shared" ref="V56:V63" si="117">BG56+BJ56</f>
        <v>32</v>
      </c>
      <c r="W56" s="177">
        <f t="shared" ref="W56:W63" si="118">BR56</f>
        <v>18</v>
      </c>
      <c r="X56" s="177">
        <f t="shared" ref="X56:X63" si="119">BH56+BI56</f>
        <v>48</v>
      </c>
      <c r="Y56" s="177">
        <f t="shared" ref="Y56:Y63" si="120">BK56+BL56+BN56</f>
        <v>61</v>
      </c>
      <c r="Z56" s="177">
        <f t="shared" ref="Z56:Z63" si="121">BM56</f>
        <v>26</v>
      </c>
      <c r="AA56" s="177">
        <f t="shared" ref="AA56:AA63" si="122">BO56+BQ56</f>
        <v>29</v>
      </c>
      <c r="AB56" s="179">
        <f t="shared" ref="AB56:AB63" si="123">BP56</f>
        <v>26</v>
      </c>
      <c r="AC56" s="177">
        <f t="shared" ref="AC56:AC63" si="124">BX56</f>
        <v>25</v>
      </c>
      <c r="AD56" s="177">
        <f t="shared" ref="AD56:AD63" si="125">BU56</f>
        <v>19</v>
      </c>
      <c r="AE56" s="177">
        <f t="shared" ref="AE56:AE63" si="126">BS56+BT56</f>
        <v>53</v>
      </c>
      <c r="AF56" s="177">
        <f t="shared" ref="AF56:AF63" si="127">CA56</f>
        <v>26</v>
      </c>
      <c r="AG56" s="177">
        <f t="shared" ref="AG56:AG63" si="128">BV56</f>
        <v>23</v>
      </c>
      <c r="AH56" s="177">
        <f t="shared" ref="AH56:AH63" si="129">BZ56</f>
        <v>64</v>
      </c>
      <c r="AI56" s="177">
        <f t="shared" ref="AI56:AI63" si="130">BW56</f>
        <v>10</v>
      </c>
      <c r="AJ56" s="177">
        <f t="shared" ref="AJ56:AJ63" si="131">BY56</f>
        <v>23</v>
      </c>
      <c r="AK56" s="179">
        <f t="shared" ref="AK56:AK63" si="132">CB56</f>
        <v>37</v>
      </c>
      <c r="AL56" s="177">
        <f t="shared" ref="AL56:AL63" si="133">CE56</f>
        <v>53</v>
      </c>
      <c r="AM56" s="177">
        <f t="shared" ref="AM56:AM63" si="134">CH56</f>
        <v>31</v>
      </c>
      <c r="AN56" s="177">
        <f t="shared" ref="AN56:AN63" si="135">CJ56</f>
        <v>76</v>
      </c>
      <c r="AO56" s="177">
        <f t="shared" ref="AO56:AP63" si="136">CC56</f>
        <v>42</v>
      </c>
      <c r="AP56" s="177">
        <f t="shared" si="136"/>
        <v>22</v>
      </c>
      <c r="AQ56" s="177">
        <f t="shared" ref="AQ56:AQ63" si="137">CK56</f>
        <v>25</v>
      </c>
      <c r="AR56" s="177">
        <f t="shared" ref="AR56:AR63" si="138">CI56</f>
        <v>33</v>
      </c>
      <c r="AS56" s="178">
        <f t="shared" ref="AS56:AS63" si="139">CF56+CG56</f>
        <v>34</v>
      </c>
      <c r="AT56" s="177">
        <v>7</v>
      </c>
      <c r="AU56" s="177">
        <v>19</v>
      </c>
      <c r="AV56" s="177">
        <v>28</v>
      </c>
      <c r="AW56" s="177">
        <v>19</v>
      </c>
      <c r="AX56" s="177">
        <v>20</v>
      </c>
      <c r="AY56" s="177">
        <v>26</v>
      </c>
      <c r="AZ56" s="177">
        <v>5</v>
      </c>
      <c r="BA56" s="177">
        <v>20</v>
      </c>
      <c r="BB56" s="177">
        <v>21</v>
      </c>
      <c r="BC56" s="177">
        <v>18</v>
      </c>
      <c r="BD56" s="177">
        <v>35</v>
      </c>
      <c r="BE56" s="177">
        <v>12</v>
      </c>
      <c r="BF56" s="179">
        <v>42</v>
      </c>
      <c r="BG56" s="177">
        <v>5</v>
      </c>
      <c r="BH56" s="177">
        <v>8</v>
      </c>
      <c r="BI56" s="177">
        <v>40</v>
      </c>
      <c r="BJ56" s="177">
        <v>27</v>
      </c>
      <c r="BK56" s="177">
        <v>5</v>
      </c>
      <c r="BL56" s="177">
        <v>9</v>
      </c>
      <c r="BM56" s="177">
        <v>26</v>
      </c>
      <c r="BN56" s="177">
        <v>47</v>
      </c>
      <c r="BO56" s="177">
        <v>3</v>
      </c>
      <c r="BP56" s="177">
        <v>26</v>
      </c>
      <c r="BQ56" s="177">
        <v>26</v>
      </c>
      <c r="BR56" s="179">
        <v>18</v>
      </c>
      <c r="BS56" s="177">
        <v>7</v>
      </c>
      <c r="BT56" s="177">
        <v>46</v>
      </c>
      <c r="BU56" s="177">
        <v>19</v>
      </c>
      <c r="BV56" s="177">
        <v>23</v>
      </c>
      <c r="BW56" s="177">
        <v>10</v>
      </c>
      <c r="BX56" s="177">
        <v>25</v>
      </c>
      <c r="BY56" s="177">
        <v>23</v>
      </c>
      <c r="BZ56" s="177">
        <v>64</v>
      </c>
      <c r="CA56" s="177">
        <v>26</v>
      </c>
      <c r="CB56" s="179">
        <v>37</v>
      </c>
      <c r="CC56" s="177">
        <v>42</v>
      </c>
      <c r="CD56" s="177">
        <v>22</v>
      </c>
      <c r="CE56" s="177">
        <v>53</v>
      </c>
      <c r="CF56" s="177">
        <v>1</v>
      </c>
      <c r="CG56" s="177">
        <v>33</v>
      </c>
      <c r="CH56" s="177">
        <v>31</v>
      </c>
      <c r="CI56" s="177">
        <v>33</v>
      </c>
      <c r="CJ56" s="177">
        <v>76</v>
      </c>
      <c r="CK56" s="178">
        <v>25</v>
      </c>
      <c r="CL56" s="180">
        <v>1108</v>
      </c>
    </row>
    <row r="57" spans="1:90">
      <c r="A57" s="93">
        <f>ROWS($A$3:A55)</f>
        <v>53</v>
      </c>
      <c r="B57" s="106"/>
      <c r="C57" s="243"/>
      <c r="D57" s="319" t="s">
        <v>1</v>
      </c>
      <c r="E57" s="320"/>
      <c r="F57" s="156">
        <v>14772</v>
      </c>
      <c r="G57" s="177">
        <v>19754</v>
      </c>
      <c r="H57" s="177">
        <v>31550</v>
      </c>
      <c r="I57" s="178">
        <v>19182</v>
      </c>
      <c r="J57" s="181"/>
      <c r="K57" s="156">
        <f t="shared" si="108"/>
        <v>2051.1999999999998</v>
      </c>
      <c r="L57" s="177">
        <f t="shared" si="109"/>
        <v>833.37</v>
      </c>
      <c r="M57" s="177">
        <f t="shared" si="110"/>
        <v>1029.49</v>
      </c>
      <c r="N57" s="177">
        <f t="shared" si="111"/>
        <v>2876.77</v>
      </c>
      <c r="O57" s="177">
        <f t="shared" si="112"/>
        <v>771.29</v>
      </c>
      <c r="P57" s="177">
        <f t="shared" si="113"/>
        <v>489.18999999999994</v>
      </c>
      <c r="Q57" s="177">
        <f>'2010'!AU57</f>
        <v>686.75</v>
      </c>
      <c r="R57" s="177">
        <f t="shared" si="114"/>
        <v>1898.23</v>
      </c>
      <c r="S57" s="177">
        <f t="shared" si="115"/>
        <v>2267.9499999999998</v>
      </c>
      <c r="T57" s="177">
        <f t="shared" si="116"/>
        <v>486.16</v>
      </c>
      <c r="U57" s="179">
        <f t="shared" si="116"/>
        <v>1383.29</v>
      </c>
      <c r="V57" s="177">
        <f t="shared" si="117"/>
        <v>4366.16</v>
      </c>
      <c r="W57" s="177">
        <f t="shared" si="118"/>
        <v>2903.2</v>
      </c>
      <c r="X57" s="177">
        <f t="shared" si="119"/>
        <v>3926.46</v>
      </c>
      <c r="Y57" s="177">
        <f t="shared" si="120"/>
        <v>3817.4900000000002</v>
      </c>
      <c r="Z57" s="177">
        <f t="shared" si="121"/>
        <v>925</v>
      </c>
      <c r="AA57" s="177">
        <f t="shared" si="122"/>
        <v>1561.28</v>
      </c>
      <c r="AB57" s="179">
        <f t="shared" si="123"/>
        <v>2254.73</v>
      </c>
      <c r="AC57" s="177">
        <f t="shared" si="124"/>
        <v>2051</v>
      </c>
      <c r="AD57" s="177">
        <f t="shared" si="125"/>
        <v>3873</v>
      </c>
      <c r="AE57" s="177">
        <f t="shared" si="126"/>
        <v>6238</v>
      </c>
      <c r="AF57" s="177">
        <f t="shared" si="127"/>
        <v>5977</v>
      </c>
      <c r="AG57" s="177">
        <f t="shared" si="128"/>
        <v>3505</v>
      </c>
      <c r="AH57" s="177">
        <f t="shared" si="129"/>
        <v>3668</v>
      </c>
      <c r="AI57" s="177">
        <f t="shared" si="130"/>
        <v>437</v>
      </c>
      <c r="AJ57" s="177">
        <f t="shared" si="131"/>
        <v>2150</v>
      </c>
      <c r="AK57" s="179">
        <f t="shared" si="132"/>
        <v>3651</v>
      </c>
      <c r="AL57" s="177">
        <f t="shared" si="133"/>
        <v>1560.55</v>
      </c>
      <c r="AM57" s="177">
        <f t="shared" si="134"/>
        <v>3573.62</v>
      </c>
      <c r="AN57" s="177">
        <f t="shared" si="135"/>
        <v>5868.79</v>
      </c>
      <c r="AO57" s="177">
        <f t="shared" si="136"/>
        <v>1975</v>
      </c>
      <c r="AP57" s="177">
        <f t="shared" si="136"/>
        <v>1187.6199999999999</v>
      </c>
      <c r="AQ57" s="177">
        <f t="shared" si="137"/>
        <v>2000.03</v>
      </c>
      <c r="AR57" s="177">
        <f t="shared" si="138"/>
        <v>1217.26</v>
      </c>
      <c r="AS57" s="178">
        <f t="shared" si="139"/>
        <v>1798.7800000000002</v>
      </c>
      <c r="AT57" s="177">
        <v>1353.19</v>
      </c>
      <c r="AU57" s="177">
        <v>686.75</v>
      </c>
      <c r="AV57" s="177">
        <v>2267.9499999999998</v>
      </c>
      <c r="AW57" s="177">
        <v>2876.77</v>
      </c>
      <c r="AX57" s="177">
        <v>545.04</v>
      </c>
      <c r="AY57" s="177">
        <v>833.37</v>
      </c>
      <c r="AZ57" s="177">
        <v>97.91</v>
      </c>
      <c r="BA57" s="177">
        <v>391.28</v>
      </c>
      <c r="BB57" s="177">
        <v>486.16</v>
      </c>
      <c r="BC57" s="177">
        <v>1383.29</v>
      </c>
      <c r="BD57" s="177">
        <v>1029.49</v>
      </c>
      <c r="BE57" s="177">
        <v>771.29</v>
      </c>
      <c r="BF57" s="179">
        <v>2051.1999999999998</v>
      </c>
      <c r="BG57" s="177">
        <v>439.87</v>
      </c>
      <c r="BH57" s="177">
        <v>721</v>
      </c>
      <c r="BI57" s="177">
        <v>3205.46</v>
      </c>
      <c r="BJ57" s="177">
        <v>3926.29</v>
      </c>
      <c r="BK57" s="177">
        <v>82.7</v>
      </c>
      <c r="BL57" s="177">
        <v>699.12</v>
      </c>
      <c r="BM57" s="177">
        <v>925</v>
      </c>
      <c r="BN57" s="177">
        <v>3035.67</v>
      </c>
      <c r="BO57" s="177">
        <v>194.28</v>
      </c>
      <c r="BP57" s="177">
        <v>2254.73</v>
      </c>
      <c r="BQ57" s="177">
        <v>1367</v>
      </c>
      <c r="BR57" s="179">
        <v>2903.2</v>
      </c>
      <c r="BS57" s="177">
        <v>683</v>
      </c>
      <c r="BT57" s="177">
        <v>5555</v>
      </c>
      <c r="BU57" s="177">
        <v>3873</v>
      </c>
      <c r="BV57" s="177">
        <v>3505</v>
      </c>
      <c r="BW57" s="177">
        <v>437</v>
      </c>
      <c r="BX57" s="177">
        <v>2051</v>
      </c>
      <c r="BY57" s="177">
        <v>2150</v>
      </c>
      <c r="BZ57" s="177">
        <v>3668</v>
      </c>
      <c r="CA57" s="177">
        <v>5977</v>
      </c>
      <c r="CB57" s="179">
        <v>3651</v>
      </c>
      <c r="CC57" s="177">
        <v>1975</v>
      </c>
      <c r="CD57" s="177">
        <v>1187.6199999999999</v>
      </c>
      <c r="CE57" s="177">
        <v>1560.55</v>
      </c>
      <c r="CF57" s="177">
        <v>39.4</v>
      </c>
      <c r="CG57" s="177">
        <v>1759.38</v>
      </c>
      <c r="CH57" s="177">
        <v>3573.62</v>
      </c>
      <c r="CI57" s="177">
        <v>1217.26</v>
      </c>
      <c r="CJ57" s="177">
        <v>5868.79</v>
      </c>
      <c r="CK57" s="178">
        <v>2000.03</v>
      </c>
      <c r="CL57" s="180">
        <v>85258</v>
      </c>
    </row>
    <row r="58" spans="1:90">
      <c r="A58" s="93">
        <f>ROWS($A$3:A56)</f>
        <v>54</v>
      </c>
      <c r="B58" s="106" t="s">
        <v>249</v>
      </c>
      <c r="C58" s="243">
        <v>2010</v>
      </c>
      <c r="D58" s="319" t="s">
        <v>14</v>
      </c>
      <c r="E58" s="322">
        <v>40704</v>
      </c>
      <c r="F58" s="156">
        <v>69</v>
      </c>
      <c r="G58" s="177">
        <v>71</v>
      </c>
      <c r="H58" s="177">
        <v>75</v>
      </c>
      <c r="I58" s="178">
        <v>85</v>
      </c>
      <c r="J58" s="181"/>
      <c r="K58" s="156">
        <f t="shared" si="108"/>
        <v>15</v>
      </c>
      <c r="L58" s="177">
        <f t="shared" si="109"/>
        <v>5</v>
      </c>
      <c r="M58" s="177">
        <f t="shared" si="110"/>
        <v>12</v>
      </c>
      <c r="N58" s="177">
        <f t="shared" si="111"/>
        <v>11</v>
      </c>
      <c r="O58" s="177">
        <f t="shared" si="112"/>
        <v>7</v>
      </c>
      <c r="P58" s="177">
        <f t="shared" si="113"/>
        <v>14</v>
      </c>
      <c r="Q58" s="177">
        <f>'2010'!AU58</f>
        <v>5</v>
      </c>
      <c r="R58" s="177">
        <f t="shared" si="114"/>
        <v>12</v>
      </c>
      <c r="S58" s="177">
        <f t="shared" si="115"/>
        <v>11</v>
      </c>
      <c r="T58" s="177">
        <f t="shared" si="116"/>
        <v>10</v>
      </c>
      <c r="U58" s="179">
        <f t="shared" si="116"/>
        <v>13</v>
      </c>
      <c r="V58" s="177">
        <f t="shared" si="117"/>
        <v>21</v>
      </c>
      <c r="W58" s="177">
        <f t="shared" si="118"/>
        <v>11</v>
      </c>
      <c r="X58" s="177">
        <f t="shared" si="119"/>
        <v>30</v>
      </c>
      <c r="Y58" s="177">
        <f t="shared" si="120"/>
        <v>25</v>
      </c>
      <c r="Z58" s="177">
        <f t="shared" si="121"/>
        <v>12</v>
      </c>
      <c r="AA58" s="177">
        <f t="shared" si="122"/>
        <v>13</v>
      </c>
      <c r="AB58" s="179">
        <f t="shared" si="123"/>
        <v>9</v>
      </c>
      <c r="AC58" s="177">
        <f t="shared" si="124"/>
        <v>10</v>
      </c>
      <c r="AD58" s="177">
        <f t="shared" si="125"/>
        <v>10</v>
      </c>
      <c r="AE58" s="177">
        <f t="shared" si="126"/>
        <v>23</v>
      </c>
      <c r="AF58" s="177">
        <f t="shared" si="127"/>
        <v>11</v>
      </c>
      <c r="AG58" s="177">
        <f t="shared" si="128"/>
        <v>15</v>
      </c>
      <c r="AH58" s="177">
        <f t="shared" si="129"/>
        <v>10</v>
      </c>
      <c r="AI58" s="177">
        <f t="shared" si="130"/>
        <v>9</v>
      </c>
      <c r="AJ58" s="177">
        <f t="shared" si="131"/>
        <v>10</v>
      </c>
      <c r="AK58" s="179">
        <f t="shared" si="132"/>
        <v>17</v>
      </c>
      <c r="AL58" s="177">
        <f t="shared" si="133"/>
        <v>20</v>
      </c>
      <c r="AM58" s="177">
        <f t="shared" si="134"/>
        <v>12</v>
      </c>
      <c r="AN58" s="177">
        <f t="shared" si="135"/>
        <v>22</v>
      </c>
      <c r="AO58" s="177">
        <f t="shared" si="136"/>
        <v>20</v>
      </c>
      <c r="AP58" s="177">
        <f t="shared" si="136"/>
        <v>8</v>
      </c>
      <c r="AQ58" s="177">
        <f t="shared" si="137"/>
        <v>14</v>
      </c>
      <c r="AR58" s="177">
        <f t="shared" si="138"/>
        <v>11</v>
      </c>
      <c r="AS58" s="178">
        <f t="shared" si="139"/>
        <v>19</v>
      </c>
      <c r="AT58" s="177">
        <v>4</v>
      </c>
      <c r="AU58" s="177">
        <v>5</v>
      </c>
      <c r="AV58" s="181">
        <v>11</v>
      </c>
      <c r="AW58" s="181">
        <v>11</v>
      </c>
      <c r="AX58" s="181">
        <v>8</v>
      </c>
      <c r="AY58" s="181">
        <v>5</v>
      </c>
      <c r="AZ58" s="181">
        <v>3</v>
      </c>
      <c r="BA58" s="181">
        <v>11</v>
      </c>
      <c r="BB58" s="181">
        <v>10</v>
      </c>
      <c r="BC58" s="181">
        <v>13</v>
      </c>
      <c r="BD58" s="181">
        <v>12</v>
      </c>
      <c r="BE58" s="181">
        <v>7</v>
      </c>
      <c r="BF58" s="179">
        <v>15</v>
      </c>
      <c r="BG58" s="181">
        <v>6</v>
      </c>
      <c r="BH58" s="181">
        <v>9</v>
      </c>
      <c r="BI58" s="181">
        <v>21</v>
      </c>
      <c r="BJ58" s="181">
        <v>15</v>
      </c>
      <c r="BK58" s="181">
        <v>4</v>
      </c>
      <c r="BL58" s="181">
        <v>3</v>
      </c>
      <c r="BM58" s="181">
        <v>12</v>
      </c>
      <c r="BN58" s="181">
        <v>18</v>
      </c>
      <c r="BO58" s="181">
        <v>3</v>
      </c>
      <c r="BP58" s="181">
        <v>9</v>
      </c>
      <c r="BQ58" s="181">
        <v>10</v>
      </c>
      <c r="BR58" s="179">
        <v>11</v>
      </c>
      <c r="BS58" s="181">
        <v>5</v>
      </c>
      <c r="BT58" s="181">
        <v>18</v>
      </c>
      <c r="BU58" s="181">
        <v>10</v>
      </c>
      <c r="BV58" s="181">
        <v>15</v>
      </c>
      <c r="BW58" s="181">
        <v>9</v>
      </c>
      <c r="BX58" s="181">
        <v>10</v>
      </c>
      <c r="BY58" s="181">
        <v>10</v>
      </c>
      <c r="BZ58" s="181">
        <v>10</v>
      </c>
      <c r="CA58" s="181">
        <v>11</v>
      </c>
      <c r="CB58" s="179">
        <v>17</v>
      </c>
      <c r="CC58" s="181">
        <v>20</v>
      </c>
      <c r="CD58" s="181">
        <v>8</v>
      </c>
      <c r="CE58" s="181">
        <v>20</v>
      </c>
      <c r="CF58" s="181">
        <v>3</v>
      </c>
      <c r="CG58" s="181">
        <v>16</v>
      </c>
      <c r="CH58" s="181">
        <v>12</v>
      </c>
      <c r="CI58" s="181">
        <v>11</v>
      </c>
      <c r="CJ58" s="181">
        <v>22</v>
      </c>
      <c r="CK58" s="178">
        <v>14</v>
      </c>
      <c r="CL58" s="180">
        <v>300</v>
      </c>
    </row>
    <row r="59" spans="1:90">
      <c r="A59" s="93">
        <f>ROWS($A$3:A57)</f>
        <v>55</v>
      </c>
      <c r="B59" s="106"/>
      <c r="C59" s="243"/>
      <c r="D59" s="319" t="s">
        <v>1</v>
      </c>
      <c r="E59" s="320"/>
      <c r="F59" s="156">
        <v>92286.89</v>
      </c>
      <c r="G59" s="177">
        <v>93812.68</v>
      </c>
      <c r="H59" s="177">
        <v>131397.09</v>
      </c>
      <c r="I59" s="178">
        <v>94058.93</v>
      </c>
      <c r="J59" s="181"/>
      <c r="K59" s="156">
        <f t="shared" si="108"/>
        <v>10514.0848616332</v>
      </c>
      <c r="L59" s="177">
        <f t="shared" si="109"/>
        <v>3118.9839788331001</v>
      </c>
      <c r="M59" s="177">
        <f t="shared" si="110"/>
        <v>8156.1568828520003</v>
      </c>
      <c r="N59" s="177">
        <f t="shared" si="111"/>
        <v>9447.90927398649</v>
      </c>
      <c r="O59" s="177">
        <f t="shared" si="112"/>
        <v>7232.5078828524001</v>
      </c>
      <c r="P59" s="177">
        <f t="shared" si="113"/>
        <v>11731.646883465999</v>
      </c>
      <c r="Q59" s="177">
        <f>'2010'!AU59</f>
        <v>6903.2617254364004</v>
      </c>
      <c r="R59" s="177">
        <f t="shared" si="114"/>
        <v>10448.371783771399</v>
      </c>
      <c r="S59" s="177">
        <f t="shared" si="115"/>
        <v>8991.7518148619001</v>
      </c>
      <c r="T59" s="177">
        <f t="shared" si="116"/>
        <v>8599.2624732380009</v>
      </c>
      <c r="U59" s="179">
        <f t="shared" si="116"/>
        <v>7142.9500235680998</v>
      </c>
      <c r="V59" s="177">
        <f t="shared" si="117"/>
        <v>13461.7490488004</v>
      </c>
      <c r="W59" s="177">
        <f t="shared" si="118"/>
        <v>3930.8866817062999</v>
      </c>
      <c r="X59" s="177">
        <f t="shared" si="119"/>
        <v>30112.655106490602</v>
      </c>
      <c r="Y59" s="177">
        <f t="shared" si="120"/>
        <v>19461.205763579703</v>
      </c>
      <c r="Z59" s="177">
        <f t="shared" si="121"/>
        <v>9694.1869237757001</v>
      </c>
      <c r="AA59" s="177">
        <f t="shared" si="122"/>
        <v>11746.1532117672</v>
      </c>
      <c r="AB59" s="179">
        <f t="shared" si="123"/>
        <v>5405.8429948985004</v>
      </c>
      <c r="AC59" s="177">
        <f t="shared" si="124"/>
        <v>8370.0470149258999</v>
      </c>
      <c r="AD59" s="177">
        <f t="shared" si="125"/>
        <v>10483.264491391999</v>
      </c>
      <c r="AE59" s="177">
        <f t="shared" si="126"/>
        <v>22710.122406597096</v>
      </c>
      <c r="AF59" s="177">
        <f t="shared" si="127"/>
        <v>15963.3913585147</v>
      </c>
      <c r="AG59" s="177">
        <f t="shared" si="128"/>
        <v>18197.2109896072</v>
      </c>
      <c r="AH59" s="177">
        <f t="shared" si="129"/>
        <v>14705.7313187543</v>
      </c>
      <c r="AI59" s="177">
        <f t="shared" si="130"/>
        <v>5990.7440859356002</v>
      </c>
      <c r="AJ59" s="177">
        <f t="shared" si="131"/>
        <v>12289.518744946199</v>
      </c>
      <c r="AK59" s="179">
        <f t="shared" si="132"/>
        <v>22687.055704322502</v>
      </c>
      <c r="AL59" s="177">
        <f t="shared" si="133"/>
        <v>12288.204825852299</v>
      </c>
      <c r="AM59" s="177">
        <f t="shared" si="134"/>
        <v>8184.5983018178003</v>
      </c>
      <c r="AN59" s="177">
        <f t="shared" si="135"/>
        <v>12894.7429296269</v>
      </c>
      <c r="AO59" s="177">
        <f t="shared" si="136"/>
        <v>22517.471888232802</v>
      </c>
      <c r="AP59" s="177">
        <f t="shared" si="136"/>
        <v>13063.2025363048</v>
      </c>
      <c r="AQ59" s="177">
        <f t="shared" si="137"/>
        <v>9769.8232242325994</v>
      </c>
      <c r="AR59" s="177">
        <f t="shared" si="138"/>
        <v>3900.7799452352001</v>
      </c>
      <c r="AS59" s="178">
        <f t="shared" si="139"/>
        <v>11440.1048846878</v>
      </c>
      <c r="AT59" s="177">
        <v>2318.4398999912</v>
      </c>
      <c r="AU59" s="177">
        <v>6903.2617254364004</v>
      </c>
      <c r="AV59" s="177">
        <v>8991.7518148619001</v>
      </c>
      <c r="AW59" s="177">
        <v>9447.90927398649</v>
      </c>
      <c r="AX59" s="177">
        <v>8129.9318837802002</v>
      </c>
      <c r="AY59" s="177">
        <v>3118.9839788331001</v>
      </c>
      <c r="AZ59" s="177">
        <v>1078.7210884946001</v>
      </c>
      <c r="BA59" s="177">
        <v>10652.925794971399</v>
      </c>
      <c r="BB59" s="177">
        <v>8599.2624732380009</v>
      </c>
      <c r="BC59" s="177">
        <v>7142.9500235680998</v>
      </c>
      <c r="BD59" s="177">
        <v>8156.1568828520003</v>
      </c>
      <c r="BE59" s="177">
        <v>7232.5078828524001</v>
      </c>
      <c r="BF59" s="179">
        <v>10514.0848616332</v>
      </c>
      <c r="BG59" s="177">
        <v>1427.2802447254001</v>
      </c>
      <c r="BH59" s="177">
        <v>4271.2493833193003</v>
      </c>
      <c r="BI59" s="177">
        <v>25841.405723171301</v>
      </c>
      <c r="BJ59" s="177">
        <v>12034.468804075001</v>
      </c>
      <c r="BK59" s="177">
        <v>2339.6957995201001</v>
      </c>
      <c r="BL59" s="177">
        <v>1635.3512122857001</v>
      </c>
      <c r="BM59" s="177">
        <v>9694.1869237757001</v>
      </c>
      <c r="BN59" s="177">
        <v>15486.158751773901</v>
      </c>
      <c r="BO59" s="177">
        <v>1436.2707530600001</v>
      </c>
      <c r="BP59" s="177">
        <v>5405.8429948985004</v>
      </c>
      <c r="BQ59" s="177">
        <v>10309.882458707199</v>
      </c>
      <c r="BR59" s="179">
        <v>3930.8866817062999</v>
      </c>
      <c r="BS59" s="177">
        <v>3158.094770275</v>
      </c>
      <c r="BT59" s="177">
        <v>19552.027636322098</v>
      </c>
      <c r="BU59" s="177">
        <v>10483.264491391999</v>
      </c>
      <c r="BV59" s="177">
        <v>18197.2109896072</v>
      </c>
      <c r="BW59" s="177">
        <v>5990.7440859356002</v>
      </c>
      <c r="BX59" s="177">
        <v>8370.0470149258999</v>
      </c>
      <c r="BY59" s="177">
        <v>12289.518744946199</v>
      </c>
      <c r="BZ59" s="177">
        <v>14705.7313187543</v>
      </c>
      <c r="CA59" s="177">
        <v>15963.3913585147</v>
      </c>
      <c r="CB59" s="179">
        <v>22687.055704322502</v>
      </c>
      <c r="CC59" s="177">
        <v>22517.471888232802</v>
      </c>
      <c r="CD59" s="177">
        <v>13063.2025363048</v>
      </c>
      <c r="CE59" s="177">
        <v>12288.204825852299</v>
      </c>
      <c r="CF59" s="177">
        <v>513.94041347070004</v>
      </c>
      <c r="CG59" s="177">
        <v>10926.1644712171</v>
      </c>
      <c r="CH59" s="177">
        <v>8184.5983018178003</v>
      </c>
      <c r="CI59" s="177">
        <v>3900.7799452352001</v>
      </c>
      <c r="CJ59" s="177">
        <v>12894.7429296269</v>
      </c>
      <c r="CK59" s="178">
        <v>9769.8232242325994</v>
      </c>
      <c r="CL59" s="180">
        <v>426223.94</v>
      </c>
    </row>
    <row r="60" spans="1:90">
      <c r="A60" s="93">
        <f>ROWS($A$3:A58)</f>
        <v>56</v>
      </c>
      <c r="B60" s="106" t="s">
        <v>250</v>
      </c>
      <c r="C60" s="243">
        <v>2010</v>
      </c>
      <c r="D60" s="319" t="s">
        <v>14</v>
      </c>
      <c r="E60" s="322">
        <v>40704</v>
      </c>
      <c r="F60" s="156">
        <v>21</v>
      </c>
      <c r="G60" s="181">
        <v>23</v>
      </c>
      <c r="H60" s="181">
        <v>34</v>
      </c>
      <c r="I60" s="178">
        <v>23</v>
      </c>
      <c r="J60" s="181"/>
      <c r="K60" s="156">
        <f t="shared" si="108"/>
        <v>6</v>
      </c>
      <c r="L60" s="177">
        <f t="shared" si="109"/>
        <v>2</v>
      </c>
      <c r="M60" s="177">
        <f t="shared" si="110"/>
        <v>2</v>
      </c>
      <c r="N60" s="177">
        <f t="shared" si="111"/>
        <v>3</v>
      </c>
      <c r="O60" s="177">
        <f t="shared" si="112"/>
        <v>3</v>
      </c>
      <c r="P60" s="177">
        <f t="shared" si="113"/>
        <v>3</v>
      </c>
      <c r="Q60" s="177">
        <f>'2010'!AU60</f>
        <v>1</v>
      </c>
      <c r="R60" s="177">
        <f t="shared" si="114"/>
        <v>5</v>
      </c>
      <c r="S60" s="177">
        <f t="shared" si="115"/>
        <v>4</v>
      </c>
      <c r="T60" s="177">
        <f t="shared" si="116"/>
        <v>2</v>
      </c>
      <c r="U60" s="179">
        <f t="shared" si="116"/>
        <v>3</v>
      </c>
      <c r="V60" s="177">
        <f t="shared" si="117"/>
        <v>6</v>
      </c>
      <c r="W60" s="177">
        <f t="shared" si="118"/>
        <v>1</v>
      </c>
      <c r="X60" s="177">
        <f t="shared" si="119"/>
        <v>10</v>
      </c>
      <c r="Y60" s="177">
        <f t="shared" si="120"/>
        <v>9</v>
      </c>
      <c r="Z60" s="177">
        <f t="shared" si="121"/>
        <v>3</v>
      </c>
      <c r="AA60" s="177">
        <f t="shared" si="122"/>
        <v>3</v>
      </c>
      <c r="AB60" s="179">
        <f t="shared" si="123"/>
        <v>2</v>
      </c>
      <c r="AC60" s="177">
        <f t="shared" si="124"/>
        <v>3</v>
      </c>
      <c r="AD60" s="177">
        <f t="shared" si="125"/>
        <v>7</v>
      </c>
      <c r="AE60" s="177">
        <f t="shared" si="126"/>
        <v>14</v>
      </c>
      <c r="AF60" s="177">
        <f t="shared" si="127"/>
        <v>3</v>
      </c>
      <c r="AG60" s="177">
        <f t="shared" si="128"/>
        <v>12</v>
      </c>
      <c r="AH60" s="177">
        <f t="shared" si="129"/>
        <v>6</v>
      </c>
      <c r="AI60" s="177">
        <f t="shared" si="130"/>
        <v>6</v>
      </c>
      <c r="AJ60" s="177">
        <f t="shared" si="131"/>
        <v>3</v>
      </c>
      <c r="AK60" s="179">
        <f t="shared" si="132"/>
        <v>2</v>
      </c>
      <c r="AL60" s="177">
        <f t="shared" si="133"/>
        <v>3</v>
      </c>
      <c r="AM60" s="177">
        <f t="shared" si="134"/>
        <v>3</v>
      </c>
      <c r="AN60" s="177">
        <f t="shared" si="135"/>
        <v>7</v>
      </c>
      <c r="AO60" s="177">
        <f t="shared" si="136"/>
        <v>3</v>
      </c>
      <c r="AP60" s="177">
        <f t="shared" si="136"/>
        <v>5</v>
      </c>
      <c r="AQ60" s="177">
        <f t="shared" si="137"/>
        <v>3</v>
      </c>
      <c r="AR60" s="177">
        <f t="shared" si="138"/>
        <v>3</v>
      </c>
      <c r="AS60" s="178">
        <f t="shared" si="139"/>
        <v>6</v>
      </c>
      <c r="AT60" s="177">
        <v>1</v>
      </c>
      <c r="AU60" s="181">
        <v>1</v>
      </c>
      <c r="AV60" s="181">
        <v>4</v>
      </c>
      <c r="AW60" s="181">
        <v>3</v>
      </c>
      <c r="AX60" s="181">
        <v>4</v>
      </c>
      <c r="AY60" s="181">
        <v>2</v>
      </c>
      <c r="AZ60" s="181">
        <v>0</v>
      </c>
      <c r="BA60" s="181">
        <v>3</v>
      </c>
      <c r="BB60" s="181">
        <v>2</v>
      </c>
      <c r="BC60" s="181">
        <v>3</v>
      </c>
      <c r="BD60" s="181">
        <v>2</v>
      </c>
      <c r="BE60" s="181">
        <v>3</v>
      </c>
      <c r="BF60" s="179">
        <v>6</v>
      </c>
      <c r="BG60" s="181">
        <v>1</v>
      </c>
      <c r="BH60" s="181">
        <v>4</v>
      </c>
      <c r="BI60" s="181">
        <v>6</v>
      </c>
      <c r="BJ60" s="181">
        <v>5</v>
      </c>
      <c r="BK60" s="181">
        <v>1</v>
      </c>
      <c r="BL60" s="181">
        <v>1</v>
      </c>
      <c r="BM60" s="181">
        <v>3</v>
      </c>
      <c r="BN60" s="181">
        <v>7</v>
      </c>
      <c r="BO60" s="181"/>
      <c r="BP60" s="181">
        <v>2</v>
      </c>
      <c r="BQ60" s="181">
        <v>3</v>
      </c>
      <c r="BR60" s="179">
        <v>1</v>
      </c>
      <c r="BS60" s="181">
        <v>3</v>
      </c>
      <c r="BT60" s="181">
        <v>11</v>
      </c>
      <c r="BU60" s="181">
        <v>7</v>
      </c>
      <c r="BV60" s="181">
        <v>12</v>
      </c>
      <c r="BW60" s="181">
        <v>6</v>
      </c>
      <c r="BX60" s="181">
        <v>3</v>
      </c>
      <c r="BY60" s="181">
        <v>3</v>
      </c>
      <c r="BZ60" s="181">
        <v>6</v>
      </c>
      <c r="CA60" s="181">
        <v>3</v>
      </c>
      <c r="CB60" s="179">
        <v>2</v>
      </c>
      <c r="CC60" s="181">
        <v>3</v>
      </c>
      <c r="CD60" s="181">
        <v>5</v>
      </c>
      <c r="CE60" s="181">
        <v>3</v>
      </c>
      <c r="CF60" s="181">
        <v>1</v>
      </c>
      <c r="CG60" s="181">
        <v>5</v>
      </c>
      <c r="CH60" s="181">
        <v>3</v>
      </c>
      <c r="CI60" s="181">
        <v>3</v>
      </c>
      <c r="CJ60" s="181">
        <v>7</v>
      </c>
      <c r="CK60" s="178">
        <v>3</v>
      </c>
      <c r="CL60" s="180">
        <v>101</v>
      </c>
    </row>
    <row r="61" spans="1:90">
      <c r="A61" s="93">
        <f>ROWS($A$3:A59)</f>
        <v>57</v>
      </c>
      <c r="B61" s="106"/>
      <c r="C61" s="243"/>
      <c r="D61" s="319" t="s">
        <v>1</v>
      </c>
      <c r="E61" s="320"/>
      <c r="F61" s="156">
        <v>69152.55</v>
      </c>
      <c r="G61" s="177">
        <v>41762.43</v>
      </c>
      <c r="H61" s="177">
        <v>181973.33</v>
      </c>
      <c r="I61" s="178">
        <v>83744</v>
      </c>
      <c r="J61" s="181"/>
      <c r="K61" s="156">
        <f t="shared" si="108"/>
        <v>3640.5994290985</v>
      </c>
      <c r="L61" s="177">
        <f t="shared" si="109"/>
        <v>2438.3136599405002</v>
      </c>
      <c r="M61" s="177">
        <f t="shared" si="110"/>
        <v>2670.3195366896002</v>
      </c>
      <c r="N61" s="177">
        <f t="shared" si="111"/>
        <v>18786.683837996901</v>
      </c>
      <c r="O61" s="177">
        <f t="shared" si="112"/>
        <v>7507.4710391156004</v>
      </c>
      <c r="P61" s="177">
        <f t="shared" si="113"/>
        <v>2511.9478698377002</v>
      </c>
      <c r="Q61" s="177">
        <f>'2010'!AU61</f>
        <v>5384.5298784226998</v>
      </c>
      <c r="R61" s="177">
        <f t="shared" si="114"/>
        <v>6609.3052492992001</v>
      </c>
      <c r="S61" s="177">
        <f t="shared" si="115"/>
        <v>17682.189973978398</v>
      </c>
      <c r="T61" s="177">
        <f t="shared" si="116"/>
        <v>713.74209477930003</v>
      </c>
      <c r="U61" s="179">
        <f t="shared" si="116"/>
        <v>1207.4505157019</v>
      </c>
      <c r="V61" s="177">
        <f t="shared" si="117"/>
        <v>9900.4399746990002</v>
      </c>
      <c r="W61" s="177">
        <f t="shared" si="118"/>
        <v>7573.4018909245997</v>
      </c>
      <c r="X61" s="177">
        <f t="shared" si="119"/>
        <v>12530.1999913738</v>
      </c>
      <c r="Y61" s="177">
        <f t="shared" si="120"/>
        <v>6488.9607463743996</v>
      </c>
      <c r="Z61" s="177">
        <f t="shared" si="121"/>
        <v>218.49048465249999</v>
      </c>
      <c r="AA61" s="177">
        <f t="shared" si="122"/>
        <v>2407.1023463197998</v>
      </c>
      <c r="AB61" s="179">
        <f t="shared" si="123"/>
        <v>2643.8364706858001</v>
      </c>
      <c r="AC61" s="177">
        <f t="shared" si="124"/>
        <v>50305.849584941498</v>
      </c>
      <c r="AD61" s="177">
        <f t="shared" si="125"/>
        <v>12559.8536271513</v>
      </c>
      <c r="AE61" s="177">
        <f t="shared" si="126"/>
        <v>29117.771517075402</v>
      </c>
      <c r="AF61" s="177">
        <f t="shared" si="127"/>
        <v>11381.724682945</v>
      </c>
      <c r="AG61" s="177">
        <f t="shared" si="128"/>
        <v>27564.806430484699</v>
      </c>
      <c r="AH61" s="177">
        <f t="shared" si="129"/>
        <v>9555.3166355496996</v>
      </c>
      <c r="AI61" s="177">
        <f t="shared" si="130"/>
        <v>3426.6761712292</v>
      </c>
      <c r="AJ61" s="177">
        <f t="shared" si="131"/>
        <v>20646.152337914998</v>
      </c>
      <c r="AK61" s="179">
        <f t="shared" si="132"/>
        <v>17415.176874928398</v>
      </c>
      <c r="AL61" s="177">
        <f t="shared" si="133"/>
        <v>19750.628003054801</v>
      </c>
      <c r="AM61" s="177">
        <f t="shared" si="134"/>
        <v>2982.4588136552002</v>
      </c>
      <c r="AN61" s="177">
        <f t="shared" si="135"/>
        <v>8762.4028419921997</v>
      </c>
      <c r="AO61" s="177">
        <f t="shared" si="136"/>
        <v>21921.1036261156</v>
      </c>
      <c r="AP61" s="177">
        <f t="shared" si="136"/>
        <v>13710.3889004105</v>
      </c>
      <c r="AQ61" s="177">
        <f t="shared" si="137"/>
        <v>8600.4111832252001</v>
      </c>
      <c r="AR61" s="177">
        <f t="shared" si="138"/>
        <v>882.97538220659999</v>
      </c>
      <c r="AS61" s="178">
        <f t="shared" si="139"/>
        <v>7133.6289120625006</v>
      </c>
      <c r="AT61" s="177">
        <v>3.0137999999999998</v>
      </c>
      <c r="AU61" s="177">
        <v>5384.5298784226998</v>
      </c>
      <c r="AV61" s="177">
        <v>17682.189973978398</v>
      </c>
      <c r="AW61" s="177">
        <v>18786.683837996901</v>
      </c>
      <c r="AX61" s="177">
        <v>6606.2914492992004</v>
      </c>
      <c r="AY61" s="177">
        <v>2438.3136599405002</v>
      </c>
      <c r="AZ61" s="177">
        <v>0</v>
      </c>
      <c r="BA61" s="177">
        <v>2511.9478698377002</v>
      </c>
      <c r="BB61" s="177">
        <v>713.74209477930003</v>
      </c>
      <c r="BC61" s="177">
        <v>1207.4505157019</v>
      </c>
      <c r="BD61" s="177">
        <v>2670.3195366896002</v>
      </c>
      <c r="BE61" s="177">
        <v>7507.4710391156004</v>
      </c>
      <c r="BF61" s="179">
        <v>3640.5994290985</v>
      </c>
      <c r="BG61" s="177">
        <v>365.5694995348</v>
      </c>
      <c r="BH61" s="177">
        <v>2893.5880259496998</v>
      </c>
      <c r="BI61" s="177">
        <v>9636.6119654240993</v>
      </c>
      <c r="BJ61" s="177">
        <v>9534.8704751641999</v>
      </c>
      <c r="BK61" s="177">
        <v>3.9557544061000001</v>
      </c>
      <c r="BL61" s="177">
        <v>418.254256134</v>
      </c>
      <c r="BM61" s="177">
        <v>218.49048465249999</v>
      </c>
      <c r="BN61" s="177">
        <v>6066.7507358343</v>
      </c>
      <c r="BO61" s="177"/>
      <c r="BP61" s="177">
        <v>2643.8364706858001</v>
      </c>
      <c r="BQ61" s="177">
        <v>2407.1023463197998</v>
      </c>
      <c r="BR61" s="179">
        <v>7573.4018909245997</v>
      </c>
      <c r="BS61" s="177">
        <v>2995.6705828342001</v>
      </c>
      <c r="BT61" s="177">
        <v>26122.1009342412</v>
      </c>
      <c r="BU61" s="177">
        <v>12559.8536271513</v>
      </c>
      <c r="BV61" s="177">
        <v>27564.806430484699</v>
      </c>
      <c r="BW61" s="177">
        <v>3426.6761712292</v>
      </c>
      <c r="BX61" s="177">
        <v>50305.849584941498</v>
      </c>
      <c r="BY61" s="177">
        <v>20646.152337914998</v>
      </c>
      <c r="BZ61" s="177">
        <v>9555.3166355496996</v>
      </c>
      <c r="CA61" s="177">
        <v>11381.724682945</v>
      </c>
      <c r="CB61" s="179">
        <v>17415.176874928398</v>
      </c>
      <c r="CC61" s="177">
        <v>21921.1036261156</v>
      </c>
      <c r="CD61" s="177">
        <v>13710.3889004105</v>
      </c>
      <c r="CE61" s="177">
        <v>19750.628003054801</v>
      </c>
      <c r="CF61" s="177">
        <v>132.02297042039999</v>
      </c>
      <c r="CG61" s="177">
        <v>7001.6059416421003</v>
      </c>
      <c r="CH61" s="177">
        <v>2982.4588136552002</v>
      </c>
      <c r="CI61" s="177">
        <v>882.97538220659999</v>
      </c>
      <c r="CJ61" s="177">
        <v>8762.4028419921997</v>
      </c>
      <c r="CK61" s="178">
        <v>8600.4111832252001</v>
      </c>
      <c r="CL61" s="180">
        <v>397044.05</v>
      </c>
    </row>
    <row r="62" spans="1:90">
      <c r="A62" s="93">
        <f>ROWS($A$3:A60)</f>
        <v>58</v>
      </c>
      <c r="B62" s="106" t="s">
        <v>59</v>
      </c>
      <c r="C62" s="242">
        <v>2010</v>
      </c>
      <c r="D62" s="319" t="s">
        <v>14</v>
      </c>
      <c r="E62" s="322">
        <v>40695</v>
      </c>
      <c r="F62" s="156">
        <v>787</v>
      </c>
      <c r="G62" s="177">
        <v>403</v>
      </c>
      <c r="H62" s="177">
        <v>1002</v>
      </c>
      <c r="I62" s="178">
        <v>385</v>
      </c>
      <c r="J62" s="181"/>
      <c r="K62" s="156">
        <f t="shared" si="108"/>
        <v>85</v>
      </c>
      <c r="L62" s="177">
        <f t="shared" si="109"/>
        <v>181</v>
      </c>
      <c r="M62" s="177">
        <f t="shared" si="110"/>
        <v>51</v>
      </c>
      <c r="N62" s="177">
        <f t="shared" si="111"/>
        <v>42</v>
      </c>
      <c r="O62" s="177">
        <f t="shared" si="112"/>
        <v>17</v>
      </c>
      <c r="P62" s="177">
        <f t="shared" si="113"/>
        <v>118</v>
      </c>
      <c r="Q62" s="177">
        <f>'2010'!AU62</f>
        <v>29</v>
      </c>
      <c r="R62" s="177">
        <f t="shared" si="114"/>
        <v>51</v>
      </c>
      <c r="S62" s="177">
        <f t="shared" si="115"/>
        <v>43</v>
      </c>
      <c r="T62" s="177">
        <f t="shared" si="116"/>
        <v>77</v>
      </c>
      <c r="U62" s="179">
        <f t="shared" si="116"/>
        <v>93</v>
      </c>
      <c r="V62" s="177">
        <f t="shared" si="117"/>
        <v>80</v>
      </c>
      <c r="W62" s="177">
        <f t="shared" si="118"/>
        <v>49</v>
      </c>
      <c r="X62" s="177">
        <f t="shared" si="119"/>
        <v>54</v>
      </c>
      <c r="Y62" s="177">
        <f t="shared" si="120"/>
        <v>67</v>
      </c>
      <c r="Z62" s="177">
        <f t="shared" si="121"/>
        <v>41</v>
      </c>
      <c r="AA62" s="177">
        <f t="shared" si="122"/>
        <v>50</v>
      </c>
      <c r="AB62" s="179">
        <f t="shared" si="123"/>
        <v>62</v>
      </c>
      <c r="AC62" s="177">
        <f t="shared" si="124"/>
        <v>123</v>
      </c>
      <c r="AD62" s="177">
        <f t="shared" si="125"/>
        <v>77</v>
      </c>
      <c r="AE62" s="177">
        <f t="shared" si="126"/>
        <v>131</v>
      </c>
      <c r="AF62" s="177">
        <f t="shared" si="127"/>
        <v>134</v>
      </c>
      <c r="AG62" s="177">
        <f t="shared" si="128"/>
        <v>139</v>
      </c>
      <c r="AH62" s="177">
        <f t="shared" si="129"/>
        <v>102</v>
      </c>
      <c r="AI62" s="177">
        <f t="shared" si="130"/>
        <v>43</v>
      </c>
      <c r="AJ62" s="177">
        <f t="shared" si="131"/>
        <v>65</v>
      </c>
      <c r="AK62" s="179">
        <f t="shared" si="132"/>
        <v>188</v>
      </c>
      <c r="AL62" s="177">
        <f t="shared" si="133"/>
        <v>41</v>
      </c>
      <c r="AM62" s="177">
        <f t="shared" si="134"/>
        <v>49</v>
      </c>
      <c r="AN62" s="177">
        <f t="shared" si="135"/>
        <v>82</v>
      </c>
      <c r="AO62" s="177">
        <f t="shared" si="136"/>
        <v>47</v>
      </c>
      <c r="AP62" s="177">
        <f t="shared" si="136"/>
        <v>13</v>
      </c>
      <c r="AQ62" s="177">
        <f t="shared" si="137"/>
        <v>66</v>
      </c>
      <c r="AR62" s="177">
        <f t="shared" si="138"/>
        <v>44</v>
      </c>
      <c r="AS62" s="178">
        <f t="shared" si="139"/>
        <v>43</v>
      </c>
      <c r="AT62" s="177">
        <v>4</v>
      </c>
      <c r="AU62" s="177">
        <v>29</v>
      </c>
      <c r="AV62" s="177">
        <v>43</v>
      </c>
      <c r="AW62" s="177">
        <v>42</v>
      </c>
      <c r="AX62" s="177">
        <v>47</v>
      </c>
      <c r="AY62" s="177">
        <v>181</v>
      </c>
      <c r="AZ62" s="177">
        <v>8</v>
      </c>
      <c r="BA62" s="177">
        <v>110</v>
      </c>
      <c r="BB62" s="177">
        <v>77</v>
      </c>
      <c r="BC62" s="177">
        <v>93</v>
      </c>
      <c r="BD62" s="177">
        <v>51</v>
      </c>
      <c r="BE62" s="177">
        <v>17</v>
      </c>
      <c r="BF62" s="179">
        <v>85</v>
      </c>
      <c r="BG62" s="177">
        <v>10</v>
      </c>
      <c r="BH62" s="177">
        <v>4</v>
      </c>
      <c r="BI62" s="177">
        <v>50</v>
      </c>
      <c r="BJ62" s="177">
        <v>70</v>
      </c>
      <c r="BK62" s="177">
        <v>9</v>
      </c>
      <c r="BL62" s="177">
        <v>3</v>
      </c>
      <c r="BM62" s="177">
        <v>41</v>
      </c>
      <c r="BN62" s="177">
        <v>55</v>
      </c>
      <c r="BO62" s="177">
        <v>7</v>
      </c>
      <c r="BP62" s="177">
        <v>62</v>
      </c>
      <c r="BQ62" s="177">
        <v>43</v>
      </c>
      <c r="BR62" s="179">
        <v>49</v>
      </c>
      <c r="BS62" s="177">
        <v>9</v>
      </c>
      <c r="BT62" s="177">
        <v>122</v>
      </c>
      <c r="BU62" s="177">
        <v>77</v>
      </c>
      <c r="BV62" s="177">
        <v>139</v>
      </c>
      <c r="BW62" s="177">
        <v>43</v>
      </c>
      <c r="BX62" s="177">
        <v>123</v>
      </c>
      <c r="BY62" s="177">
        <v>65</v>
      </c>
      <c r="BZ62" s="177">
        <v>102</v>
      </c>
      <c r="CA62" s="177">
        <v>134</v>
      </c>
      <c r="CB62" s="179">
        <v>188</v>
      </c>
      <c r="CC62" s="177">
        <v>47</v>
      </c>
      <c r="CD62" s="177">
        <v>13</v>
      </c>
      <c r="CE62" s="177">
        <v>41</v>
      </c>
      <c r="CF62" s="177">
        <v>3</v>
      </c>
      <c r="CG62" s="177">
        <v>40</v>
      </c>
      <c r="CH62" s="177">
        <v>49</v>
      </c>
      <c r="CI62" s="177">
        <v>44</v>
      </c>
      <c r="CJ62" s="177">
        <v>82</v>
      </c>
      <c r="CK62" s="178">
        <v>66</v>
      </c>
      <c r="CL62" s="180">
        <v>2577</v>
      </c>
    </row>
    <row r="63" spans="1:90">
      <c r="A63" s="93">
        <f>ROWS($A$3:A61)</f>
        <v>59</v>
      </c>
      <c r="B63" s="106"/>
      <c r="C63" s="243"/>
      <c r="D63" s="319" t="s">
        <v>1</v>
      </c>
      <c r="E63" s="320"/>
      <c r="F63" s="156">
        <v>281340</v>
      </c>
      <c r="G63" s="177">
        <v>198590</v>
      </c>
      <c r="H63" s="177">
        <v>152061</v>
      </c>
      <c r="I63" s="178">
        <v>300773</v>
      </c>
      <c r="J63" s="181"/>
      <c r="K63" s="156">
        <f t="shared" si="108"/>
        <v>39949</v>
      </c>
      <c r="L63" s="177">
        <f t="shared" si="109"/>
        <v>7799</v>
      </c>
      <c r="M63" s="177">
        <f t="shared" si="110"/>
        <v>51768</v>
      </c>
      <c r="N63" s="177">
        <f t="shared" si="111"/>
        <v>21225</v>
      </c>
      <c r="O63" s="177">
        <f t="shared" si="112"/>
        <v>59293</v>
      </c>
      <c r="P63" s="177">
        <f t="shared" si="113"/>
        <v>27440</v>
      </c>
      <c r="Q63" s="177">
        <f>'2010'!AU63</f>
        <v>26703</v>
      </c>
      <c r="R63" s="177">
        <f t="shared" si="114"/>
        <v>17224</v>
      </c>
      <c r="S63" s="177">
        <f t="shared" si="115"/>
        <v>9237</v>
      </c>
      <c r="T63" s="177">
        <f t="shared" si="116"/>
        <v>13258</v>
      </c>
      <c r="U63" s="179">
        <f t="shared" si="116"/>
        <v>7444</v>
      </c>
      <c r="V63" s="177">
        <f t="shared" si="117"/>
        <v>19319</v>
      </c>
      <c r="W63" s="177">
        <f t="shared" si="118"/>
        <v>16339</v>
      </c>
      <c r="X63" s="177">
        <f t="shared" si="119"/>
        <v>43301</v>
      </c>
      <c r="Y63" s="177">
        <f t="shared" si="120"/>
        <v>41183</v>
      </c>
      <c r="Z63" s="177">
        <f t="shared" si="121"/>
        <v>29380</v>
      </c>
      <c r="AA63" s="177">
        <f t="shared" si="122"/>
        <v>26209</v>
      </c>
      <c r="AB63" s="179">
        <f t="shared" si="123"/>
        <v>22860</v>
      </c>
      <c r="AC63" s="177">
        <f t="shared" si="124"/>
        <v>17562</v>
      </c>
      <c r="AD63" s="177">
        <f t="shared" si="125"/>
        <v>8039</v>
      </c>
      <c r="AE63" s="177">
        <f t="shared" si="126"/>
        <v>19005</v>
      </c>
      <c r="AF63" s="177">
        <f t="shared" si="127"/>
        <v>10140</v>
      </c>
      <c r="AG63" s="177">
        <f t="shared" si="128"/>
        <v>18925</v>
      </c>
      <c r="AH63" s="177">
        <f t="shared" si="129"/>
        <v>24693</v>
      </c>
      <c r="AI63" s="177">
        <f t="shared" si="130"/>
        <v>17872</v>
      </c>
      <c r="AJ63" s="177">
        <f t="shared" si="131"/>
        <v>14632</v>
      </c>
      <c r="AK63" s="179">
        <f t="shared" si="132"/>
        <v>21193</v>
      </c>
      <c r="AL63" s="177">
        <f t="shared" si="133"/>
        <v>30522</v>
      </c>
      <c r="AM63" s="177">
        <f t="shared" si="134"/>
        <v>26135</v>
      </c>
      <c r="AN63" s="177">
        <f t="shared" si="135"/>
        <v>20579</v>
      </c>
      <c r="AO63" s="177">
        <f t="shared" si="136"/>
        <v>65501</v>
      </c>
      <c r="AP63" s="177">
        <f t="shared" si="136"/>
        <v>12089</v>
      </c>
      <c r="AQ63" s="177">
        <f t="shared" si="137"/>
        <v>43410</v>
      </c>
      <c r="AR63" s="177">
        <f t="shared" si="138"/>
        <v>8478</v>
      </c>
      <c r="AS63" s="178">
        <f t="shared" si="139"/>
        <v>94058</v>
      </c>
      <c r="AT63" s="177">
        <v>1265</v>
      </c>
      <c r="AU63" s="177">
        <v>26703</v>
      </c>
      <c r="AV63" s="177">
        <v>9237</v>
      </c>
      <c r="AW63" s="177">
        <v>21225</v>
      </c>
      <c r="AX63" s="177">
        <v>15959</v>
      </c>
      <c r="AY63" s="177">
        <v>7799</v>
      </c>
      <c r="AZ63" s="177">
        <v>2749</v>
      </c>
      <c r="BA63" s="177">
        <v>24691</v>
      </c>
      <c r="BB63" s="177">
        <v>13258</v>
      </c>
      <c r="BC63" s="177">
        <v>7444</v>
      </c>
      <c r="BD63" s="177">
        <v>51768</v>
      </c>
      <c r="BE63" s="177">
        <v>59293</v>
      </c>
      <c r="BF63" s="179">
        <v>39949</v>
      </c>
      <c r="BG63" s="177">
        <v>3662</v>
      </c>
      <c r="BH63" s="177">
        <v>6757</v>
      </c>
      <c r="BI63" s="177">
        <v>36544</v>
      </c>
      <c r="BJ63" s="177">
        <v>15657</v>
      </c>
      <c r="BK63" s="177">
        <v>4245</v>
      </c>
      <c r="BL63" s="177">
        <v>2329</v>
      </c>
      <c r="BM63" s="177">
        <v>29380</v>
      </c>
      <c r="BN63" s="177">
        <v>34609</v>
      </c>
      <c r="BO63" s="177">
        <v>3968</v>
      </c>
      <c r="BP63" s="177">
        <v>22860</v>
      </c>
      <c r="BQ63" s="177">
        <v>22241</v>
      </c>
      <c r="BR63" s="179">
        <v>16339</v>
      </c>
      <c r="BS63" s="177">
        <v>1786</v>
      </c>
      <c r="BT63" s="177">
        <v>17219</v>
      </c>
      <c r="BU63" s="177">
        <v>8039</v>
      </c>
      <c r="BV63" s="177">
        <v>18925</v>
      </c>
      <c r="BW63" s="177">
        <v>17872</v>
      </c>
      <c r="BX63" s="177">
        <v>17562</v>
      </c>
      <c r="BY63" s="177">
        <v>14632</v>
      </c>
      <c r="BZ63" s="177">
        <v>24693</v>
      </c>
      <c r="CA63" s="177">
        <v>10140</v>
      </c>
      <c r="CB63" s="179">
        <v>21193</v>
      </c>
      <c r="CC63" s="177">
        <v>65501</v>
      </c>
      <c r="CD63" s="177">
        <v>12089</v>
      </c>
      <c r="CE63" s="177">
        <v>30522</v>
      </c>
      <c r="CF63" s="177">
        <v>827</v>
      </c>
      <c r="CG63" s="177">
        <v>93231</v>
      </c>
      <c r="CH63" s="177">
        <v>26135</v>
      </c>
      <c r="CI63" s="177">
        <v>8478</v>
      </c>
      <c r="CJ63" s="177">
        <v>20579</v>
      </c>
      <c r="CK63" s="178">
        <v>43410</v>
      </c>
      <c r="CL63" s="180">
        <v>932763</v>
      </c>
    </row>
    <row r="64" spans="1:90">
      <c r="A64" s="93">
        <f>ROWS($A$3:A62)</f>
        <v>60</v>
      </c>
      <c r="B64" s="67" t="s">
        <v>86</v>
      </c>
      <c r="C64" s="243"/>
      <c r="D64" s="319"/>
      <c r="E64" s="320"/>
      <c r="F64" s="156"/>
      <c r="G64" s="177"/>
      <c r="H64" s="177"/>
      <c r="I64" s="178"/>
      <c r="J64" s="181"/>
      <c r="K64" s="156"/>
      <c r="L64" s="177"/>
      <c r="M64" s="177"/>
      <c r="N64" s="177"/>
      <c r="O64" s="177"/>
      <c r="P64" s="177"/>
      <c r="Q64" s="177"/>
      <c r="R64" s="177"/>
      <c r="S64" s="177"/>
      <c r="T64" s="177"/>
      <c r="U64" s="179"/>
      <c r="V64" s="177"/>
      <c r="W64" s="177"/>
      <c r="X64" s="177"/>
      <c r="Y64" s="177"/>
      <c r="Z64" s="177"/>
      <c r="AA64" s="177"/>
      <c r="AB64" s="179"/>
      <c r="AC64" s="177"/>
      <c r="AD64" s="177"/>
      <c r="AE64" s="177"/>
      <c r="AF64" s="177"/>
      <c r="AG64" s="177"/>
      <c r="AH64" s="177"/>
      <c r="AI64" s="177"/>
      <c r="AJ64" s="177"/>
      <c r="AK64" s="179"/>
      <c r="AL64" s="177"/>
      <c r="AM64" s="177"/>
      <c r="AN64" s="177"/>
      <c r="AO64" s="177"/>
      <c r="AP64" s="177"/>
      <c r="AQ64" s="177"/>
      <c r="AR64" s="177"/>
      <c r="AS64" s="178"/>
      <c r="AT64" s="177"/>
      <c r="AU64" s="177"/>
      <c r="AV64" s="177"/>
      <c r="AW64" s="177"/>
      <c r="AX64" s="177"/>
      <c r="AY64" s="177"/>
      <c r="AZ64" s="177"/>
      <c r="BA64" s="177"/>
      <c r="BB64" s="177"/>
      <c r="BC64" s="177"/>
      <c r="BD64" s="177"/>
      <c r="BE64" s="177"/>
      <c r="BF64" s="179"/>
      <c r="BG64" s="177"/>
      <c r="BH64" s="177"/>
      <c r="BI64" s="177"/>
      <c r="BJ64" s="177"/>
      <c r="BK64" s="177"/>
      <c r="BL64" s="177"/>
      <c r="BM64" s="177"/>
      <c r="BN64" s="177"/>
      <c r="BO64" s="177"/>
      <c r="BP64" s="177"/>
      <c r="BQ64" s="177"/>
      <c r="BR64" s="179"/>
      <c r="BS64" s="177"/>
      <c r="BT64" s="177"/>
      <c r="BU64" s="177"/>
      <c r="BV64" s="177"/>
      <c r="BW64" s="177"/>
      <c r="BX64" s="177"/>
      <c r="BY64" s="177"/>
      <c r="BZ64" s="177"/>
      <c r="CA64" s="177"/>
      <c r="CB64" s="179"/>
      <c r="CC64" s="177"/>
      <c r="CD64" s="177"/>
      <c r="CE64" s="177"/>
      <c r="CF64" s="177"/>
      <c r="CG64" s="177"/>
      <c r="CH64" s="177"/>
      <c r="CI64" s="177"/>
      <c r="CJ64" s="177"/>
      <c r="CK64" s="178"/>
      <c r="CL64" s="180"/>
    </row>
    <row r="65" spans="1:90">
      <c r="A65" s="93">
        <f>ROWS($A$3:A63)</f>
        <v>61</v>
      </c>
      <c r="B65" s="62" t="s">
        <v>85</v>
      </c>
      <c r="C65" s="242">
        <v>2010</v>
      </c>
      <c r="D65" s="319" t="s">
        <v>62</v>
      </c>
      <c r="E65" s="320"/>
      <c r="F65" s="182">
        <f>SUM(AT65:BF65)</f>
        <v>277823.95</v>
      </c>
      <c r="G65" s="183">
        <f>SUM(BG65:BR65)</f>
        <v>73797.679999999993</v>
      </c>
      <c r="H65" s="183">
        <f>SUM(BS65:CB65)</f>
        <v>219436.61</v>
      </c>
      <c r="I65" s="184">
        <f>SUM(CC65:CK65)</f>
        <v>228530.27000000002</v>
      </c>
      <c r="J65" s="181"/>
      <c r="K65" s="185">
        <f>BF65</f>
        <v>62714.38</v>
      </c>
      <c r="L65" s="186">
        <f>AY65</f>
        <v>16317.44</v>
      </c>
      <c r="M65" s="186">
        <f>BD65</f>
        <v>44910.36</v>
      </c>
      <c r="N65" s="186">
        <f>AW65</f>
        <v>21094.5</v>
      </c>
      <c r="O65" s="186">
        <f>BE65</f>
        <v>13618.800000000001</v>
      </c>
      <c r="P65" s="177">
        <f>AZ65+BA65</f>
        <v>4311.68</v>
      </c>
      <c r="Q65" s="186">
        <f>'2010'!AU65</f>
        <v>11249.58</v>
      </c>
      <c r="R65" s="186">
        <f>AT65+AX65</f>
        <v>0</v>
      </c>
      <c r="S65" s="186">
        <f>AV65</f>
        <v>11583.47</v>
      </c>
      <c r="T65" s="186">
        <f t="shared" ref="T65:U67" si="140">BB65</f>
        <v>21024.75</v>
      </c>
      <c r="U65" s="187">
        <f t="shared" si="140"/>
        <v>70998.990000000005</v>
      </c>
      <c r="V65" s="186">
        <f>BG65+BJ65</f>
        <v>2787.9300000000003</v>
      </c>
      <c r="W65" s="186">
        <f>BR65</f>
        <v>15509.48</v>
      </c>
      <c r="X65" s="186">
        <f>BH65+BI65</f>
        <v>1495.84</v>
      </c>
      <c r="Y65" s="186">
        <f>BK65+BL65+BN65</f>
        <v>2685.1000000000004</v>
      </c>
      <c r="Z65" s="186">
        <f>BM65</f>
        <v>30109.95</v>
      </c>
      <c r="AA65" s="186">
        <f>BO65+BQ65</f>
        <v>8442.9</v>
      </c>
      <c r="AB65" s="187">
        <f>BP65</f>
        <v>12766.48</v>
      </c>
      <c r="AC65" s="186">
        <f>BX65</f>
        <v>37275.839999999997</v>
      </c>
      <c r="AD65" s="186">
        <f>BU65</f>
        <v>10260.300000000001</v>
      </c>
      <c r="AE65" s="186">
        <f>BS65+BT65</f>
        <v>25072.66</v>
      </c>
      <c r="AF65" s="186">
        <f>CA65</f>
        <v>13194.359999999999</v>
      </c>
      <c r="AG65" s="186">
        <f>BV65</f>
        <v>21090</v>
      </c>
      <c r="AH65" s="186">
        <f>BZ65</f>
        <v>19856.45</v>
      </c>
      <c r="AI65" s="186">
        <f>BW65</f>
        <v>30093</v>
      </c>
      <c r="AJ65" s="186">
        <f>BY65</f>
        <v>24250</v>
      </c>
      <c r="AK65" s="187">
        <f>CB65</f>
        <v>38344</v>
      </c>
      <c r="AL65" s="186">
        <f>CE65</f>
        <v>33237.68</v>
      </c>
      <c r="AM65" s="186">
        <f>CH65</f>
        <v>11449.8</v>
      </c>
      <c r="AN65" s="186">
        <f>CJ65</f>
        <v>50005.279999999999</v>
      </c>
      <c r="AO65" s="186">
        <f t="shared" ref="AO65:AP67" si="141">CC65</f>
        <v>41825.42</v>
      </c>
      <c r="AP65" s="186">
        <f t="shared" si="141"/>
        <v>10649.29</v>
      </c>
      <c r="AQ65" s="186">
        <f>CK65</f>
        <v>39783.54</v>
      </c>
      <c r="AR65" s="186">
        <f>CI65</f>
        <v>8678.8000000000011</v>
      </c>
      <c r="AS65" s="190">
        <f>CF65+CG65</f>
        <v>32900.46</v>
      </c>
      <c r="AT65" s="186">
        <v>0</v>
      </c>
      <c r="AU65" s="183">
        <f t="shared" ref="AU65:CK65" si="142">AU35*AU93</f>
        <v>11249.58</v>
      </c>
      <c r="AV65" s="183">
        <f t="shared" si="142"/>
        <v>11583.47</v>
      </c>
      <c r="AW65" s="183">
        <f t="shared" si="142"/>
        <v>21094.5</v>
      </c>
      <c r="AX65" s="183">
        <f t="shared" si="142"/>
        <v>0</v>
      </c>
      <c r="AY65" s="183">
        <f t="shared" si="142"/>
        <v>16317.44</v>
      </c>
      <c r="AZ65" s="183">
        <f t="shared" si="142"/>
        <v>0</v>
      </c>
      <c r="BA65" s="183">
        <f t="shared" si="142"/>
        <v>4311.68</v>
      </c>
      <c r="BB65" s="183">
        <f t="shared" si="142"/>
        <v>21024.75</v>
      </c>
      <c r="BC65" s="183">
        <f t="shared" si="142"/>
        <v>70998.990000000005</v>
      </c>
      <c r="BD65" s="183">
        <f t="shared" si="142"/>
        <v>44910.36</v>
      </c>
      <c r="BE65" s="183">
        <f t="shared" si="142"/>
        <v>13618.800000000001</v>
      </c>
      <c r="BF65" s="188">
        <f t="shared" si="142"/>
        <v>62714.38</v>
      </c>
      <c r="BG65" s="183">
        <f t="shared" si="142"/>
        <v>1046.73</v>
      </c>
      <c r="BH65" s="183">
        <f t="shared" si="142"/>
        <v>0</v>
      </c>
      <c r="BI65" s="183">
        <f t="shared" si="142"/>
        <v>1495.84</v>
      </c>
      <c r="BJ65" s="183">
        <f t="shared" si="142"/>
        <v>1741.2</v>
      </c>
      <c r="BK65" s="183">
        <f t="shared" si="142"/>
        <v>18.309999999999999</v>
      </c>
      <c r="BL65" s="183">
        <f t="shared" si="142"/>
        <v>0</v>
      </c>
      <c r="BM65" s="183">
        <f t="shared" si="142"/>
        <v>30109.95</v>
      </c>
      <c r="BN65" s="183">
        <f t="shared" si="142"/>
        <v>2666.7900000000004</v>
      </c>
      <c r="BO65" s="183">
        <f t="shared" si="142"/>
        <v>213.98999999999998</v>
      </c>
      <c r="BP65" s="183">
        <f t="shared" si="142"/>
        <v>12766.48</v>
      </c>
      <c r="BQ65" s="183">
        <f t="shared" si="142"/>
        <v>8228.91</v>
      </c>
      <c r="BR65" s="188">
        <f t="shared" si="142"/>
        <v>15509.48</v>
      </c>
      <c r="BS65" s="183">
        <f t="shared" si="142"/>
        <v>723.66</v>
      </c>
      <c r="BT65" s="183">
        <f t="shared" si="142"/>
        <v>24349</v>
      </c>
      <c r="BU65" s="183">
        <f t="shared" si="142"/>
        <v>10260.300000000001</v>
      </c>
      <c r="BV65" s="183">
        <f t="shared" si="142"/>
        <v>21090</v>
      </c>
      <c r="BW65" s="183">
        <f t="shared" si="142"/>
        <v>30093</v>
      </c>
      <c r="BX65" s="183">
        <f t="shared" si="142"/>
        <v>37275.839999999997</v>
      </c>
      <c r="BY65" s="183">
        <f t="shared" si="142"/>
        <v>24250</v>
      </c>
      <c r="BZ65" s="183">
        <f t="shared" si="142"/>
        <v>19856.45</v>
      </c>
      <c r="CA65" s="183">
        <f t="shared" si="142"/>
        <v>13194.359999999999</v>
      </c>
      <c r="CB65" s="188">
        <f t="shared" si="142"/>
        <v>38344</v>
      </c>
      <c r="CC65" s="183">
        <f t="shared" si="142"/>
        <v>41825.42</v>
      </c>
      <c r="CD65" s="183">
        <f t="shared" si="142"/>
        <v>10649.29</v>
      </c>
      <c r="CE65" s="183">
        <f t="shared" si="142"/>
        <v>33237.68</v>
      </c>
      <c r="CF65" s="183">
        <f t="shared" si="142"/>
        <v>328.58000000000004</v>
      </c>
      <c r="CG65" s="183">
        <f t="shared" si="142"/>
        <v>32571.88</v>
      </c>
      <c r="CH65" s="183">
        <f t="shared" si="142"/>
        <v>11449.8</v>
      </c>
      <c r="CI65" s="183">
        <f t="shared" si="142"/>
        <v>8678.8000000000011</v>
      </c>
      <c r="CJ65" s="183">
        <f t="shared" si="142"/>
        <v>50005.279999999999</v>
      </c>
      <c r="CK65" s="184">
        <f t="shared" si="142"/>
        <v>39783.54</v>
      </c>
      <c r="CL65" s="318">
        <v>799589</v>
      </c>
    </row>
    <row r="66" spans="1:90">
      <c r="A66" s="93">
        <f>ROWS($A$3:A64)</f>
        <v>62</v>
      </c>
      <c r="B66" s="106" t="s">
        <v>281</v>
      </c>
      <c r="C66" s="243"/>
      <c r="D66" s="319" t="s">
        <v>56</v>
      </c>
      <c r="E66" s="320"/>
      <c r="F66" s="156">
        <f>SUM(AT66:BF66)</f>
        <v>195852</v>
      </c>
      <c r="G66" s="177">
        <f>SUM(BG66:BR66)</f>
        <v>53911</v>
      </c>
      <c r="H66" s="177">
        <f>SUM(BS66:CB66)</f>
        <v>116341</v>
      </c>
      <c r="I66" s="178">
        <f>SUM(CC66:CK66)</f>
        <v>166729</v>
      </c>
      <c r="J66" s="181"/>
      <c r="K66" s="156">
        <f>BF66</f>
        <v>45235</v>
      </c>
      <c r="L66" s="177">
        <f>AY66</f>
        <v>12595</v>
      </c>
      <c r="M66" s="177">
        <f>BD66</f>
        <v>29889</v>
      </c>
      <c r="N66" s="177">
        <f>AW66</f>
        <v>13723</v>
      </c>
      <c r="O66" s="177">
        <f>BE66</f>
        <v>11126</v>
      </c>
      <c r="P66" s="177">
        <f>AZ66+BA66</f>
        <v>2756</v>
      </c>
      <c r="Q66" s="177">
        <f>AU66</f>
        <v>8520</v>
      </c>
      <c r="R66" s="177">
        <f>AT66+AX66</f>
        <v>607</v>
      </c>
      <c r="S66" s="177">
        <f>AV66</f>
        <v>7668</v>
      </c>
      <c r="T66" s="177">
        <f t="shared" si="140"/>
        <v>14362</v>
      </c>
      <c r="U66" s="179">
        <f t="shared" si="140"/>
        <v>49371</v>
      </c>
      <c r="V66" s="177">
        <f>BG66+BJ66</f>
        <v>2207</v>
      </c>
      <c r="W66" s="177">
        <f>BR66</f>
        <v>11928</v>
      </c>
      <c r="X66" s="177">
        <f>BH66+BI66</f>
        <v>1521</v>
      </c>
      <c r="Y66" s="177">
        <f>BK66+BL66+BN66</f>
        <v>2980</v>
      </c>
      <c r="Z66" s="177">
        <f>BM66</f>
        <v>19450</v>
      </c>
      <c r="AA66" s="177">
        <f>BO66+BQ66</f>
        <v>6151</v>
      </c>
      <c r="AB66" s="179">
        <f>BP66</f>
        <v>9674</v>
      </c>
      <c r="AC66" s="177">
        <f>BX66</f>
        <v>19858</v>
      </c>
      <c r="AD66" s="177">
        <f>BU66</f>
        <v>6310</v>
      </c>
      <c r="AE66" s="177">
        <f>BS66+BT66</f>
        <v>4801</v>
      </c>
      <c r="AF66" s="177">
        <f>CA66</f>
        <v>4137</v>
      </c>
      <c r="AG66" s="177">
        <f>BV66</f>
        <v>14712</v>
      </c>
      <c r="AH66" s="177">
        <f>BZ66</f>
        <v>14741</v>
      </c>
      <c r="AI66" s="177">
        <f>BW66</f>
        <v>20994</v>
      </c>
      <c r="AJ66" s="177">
        <f>BY66</f>
        <v>11465</v>
      </c>
      <c r="AK66" s="179">
        <f>CB66</f>
        <v>19323</v>
      </c>
      <c r="AL66" s="177">
        <f>CE66</f>
        <v>16010</v>
      </c>
      <c r="AM66" s="177">
        <f>CH66</f>
        <v>10703</v>
      </c>
      <c r="AN66" s="177">
        <f>CJ66</f>
        <v>43570</v>
      </c>
      <c r="AO66" s="177">
        <f t="shared" si="141"/>
        <v>31761</v>
      </c>
      <c r="AP66" s="177">
        <f t="shared" si="141"/>
        <v>7274</v>
      </c>
      <c r="AQ66" s="177">
        <f>CK66</f>
        <v>27378</v>
      </c>
      <c r="AR66" s="177">
        <f>CI66</f>
        <v>5782</v>
      </c>
      <c r="AS66" s="178">
        <f>CF66+CG66</f>
        <v>24251</v>
      </c>
      <c r="AT66" s="177">
        <v>0</v>
      </c>
      <c r="AU66" s="177">
        <v>8520</v>
      </c>
      <c r="AV66" s="177">
        <f>8469-801</f>
        <v>7668</v>
      </c>
      <c r="AW66" s="177">
        <f>17517-3794</f>
        <v>13723</v>
      </c>
      <c r="AX66" s="177">
        <f>796-189</f>
        <v>607</v>
      </c>
      <c r="AY66" s="177">
        <v>12595</v>
      </c>
      <c r="AZ66" s="177">
        <v>0</v>
      </c>
      <c r="BA66" s="177">
        <f>2967-211</f>
        <v>2756</v>
      </c>
      <c r="BB66" s="177">
        <v>14362</v>
      </c>
      <c r="BC66" s="177">
        <v>49371</v>
      </c>
      <c r="BD66" s="177">
        <v>29889</v>
      </c>
      <c r="BE66" s="177">
        <v>11126</v>
      </c>
      <c r="BF66" s="179">
        <f>45757-522</f>
        <v>45235</v>
      </c>
      <c r="BG66" s="177">
        <v>0</v>
      </c>
      <c r="BH66" s="177">
        <v>0</v>
      </c>
      <c r="BI66" s="177">
        <f>1626-105</f>
        <v>1521</v>
      </c>
      <c r="BJ66" s="177">
        <f>2506-299</f>
        <v>2207</v>
      </c>
      <c r="BK66" s="177">
        <v>0</v>
      </c>
      <c r="BL66" s="177">
        <v>0</v>
      </c>
      <c r="BM66" s="177">
        <v>19450</v>
      </c>
      <c r="BN66" s="177">
        <v>2980</v>
      </c>
      <c r="BO66" s="177">
        <v>0</v>
      </c>
      <c r="BP66" s="177">
        <f>10254-580</f>
        <v>9674</v>
      </c>
      <c r="BQ66" s="177">
        <f>6216-65</f>
        <v>6151</v>
      </c>
      <c r="BR66" s="179">
        <f>13356-1428</f>
        <v>11928</v>
      </c>
      <c r="BS66" s="177">
        <v>0</v>
      </c>
      <c r="BT66" s="177">
        <f>23829-19028</f>
        <v>4801</v>
      </c>
      <c r="BU66" s="177">
        <f>8582-2272</f>
        <v>6310</v>
      </c>
      <c r="BV66" s="177">
        <f>16851-2139</f>
        <v>14712</v>
      </c>
      <c r="BW66" s="177">
        <f>22957-1963</f>
        <v>20994</v>
      </c>
      <c r="BX66" s="177">
        <f>32696-12838</f>
        <v>19858</v>
      </c>
      <c r="BY66" s="177">
        <f>20261-8796</f>
        <v>11465</v>
      </c>
      <c r="BZ66" s="177">
        <f>14908-167</f>
        <v>14741</v>
      </c>
      <c r="CA66" s="177">
        <f>12797-8660</f>
        <v>4137</v>
      </c>
      <c r="CB66" s="179">
        <f>31442-12119</f>
        <v>19323</v>
      </c>
      <c r="CC66" s="177">
        <f>32748-987</f>
        <v>31761</v>
      </c>
      <c r="CD66" s="177">
        <f>7531-257</f>
        <v>7274</v>
      </c>
      <c r="CE66" s="177">
        <f>28829-12819</f>
        <v>16010</v>
      </c>
      <c r="CF66" s="177">
        <v>0</v>
      </c>
      <c r="CG66" s="177">
        <f>25638-1387</f>
        <v>24251</v>
      </c>
      <c r="CH66" s="177">
        <v>10703</v>
      </c>
      <c r="CI66" s="177">
        <f>6535-753</f>
        <v>5782</v>
      </c>
      <c r="CJ66" s="177">
        <f>45438-1868</f>
        <v>43570</v>
      </c>
      <c r="CK66" s="178">
        <f>29612-2234</f>
        <v>27378</v>
      </c>
      <c r="CL66" s="180">
        <f>SUM(AT66:CK66)</f>
        <v>532833</v>
      </c>
    </row>
    <row r="67" spans="1:90">
      <c r="A67" s="93">
        <f>ROWS($A$3:A65)</f>
        <v>63</v>
      </c>
      <c r="B67" s="106" t="s">
        <v>282</v>
      </c>
      <c r="C67" s="243"/>
      <c r="D67" s="319" t="s">
        <v>56</v>
      </c>
      <c r="E67" s="320"/>
      <c r="F67" s="156">
        <f>SUM(AT67:BF67)</f>
        <v>5517</v>
      </c>
      <c r="G67" s="177">
        <f>SUM(BG67:BR67)</f>
        <v>2477</v>
      </c>
      <c r="H67" s="177">
        <f>SUM(BS67:CB67)</f>
        <v>67982</v>
      </c>
      <c r="I67" s="178">
        <f>SUM(CC67:CK67)</f>
        <v>20305</v>
      </c>
      <c r="J67" s="181"/>
      <c r="K67" s="156">
        <f>BF67</f>
        <v>522</v>
      </c>
      <c r="L67" s="177">
        <f>AY67</f>
        <v>0</v>
      </c>
      <c r="M67" s="177">
        <f>BD67</f>
        <v>0</v>
      </c>
      <c r="N67" s="177">
        <f>AW67</f>
        <v>3794</v>
      </c>
      <c r="O67" s="177">
        <f>BE67</f>
        <v>0</v>
      </c>
      <c r="P67" s="177">
        <f>AZ67+BA67</f>
        <v>211</v>
      </c>
      <c r="Q67" s="177">
        <f>AU67</f>
        <v>0</v>
      </c>
      <c r="R67" s="177">
        <f>AT67+AX67</f>
        <v>189</v>
      </c>
      <c r="S67" s="177">
        <f>AV67</f>
        <v>801</v>
      </c>
      <c r="T67" s="177">
        <f t="shared" si="140"/>
        <v>0</v>
      </c>
      <c r="U67" s="179">
        <f t="shared" si="140"/>
        <v>0</v>
      </c>
      <c r="V67" s="177">
        <f>BG67+BJ67</f>
        <v>299</v>
      </c>
      <c r="W67" s="177">
        <f>BR67</f>
        <v>1428</v>
      </c>
      <c r="X67" s="177">
        <f>BH67+BI67</f>
        <v>105</v>
      </c>
      <c r="Y67" s="177">
        <f>BK67+BL67+BN67</f>
        <v>0</v>
      </c>
      <c r="Z67" s="177">
        <f>BM67</f>
        <v>0</v>
      </c>
      <c r="AA67" s="177">
        <f>BO67+BQ67</f>
        <v>65</v>
      </c>
      <c r="AB67" s="179">
        <f>BP67</f>
        <v>580</v>
      </c>
      <c r="AC67" s="177">
        <f>BX67</f>
        <v>12838</v>
      </c>
      <c r="AD67" s="177">
        <f>BU67</f>
        <v>2272</v>
      </c>
      <c r="AE67" s="177">
        <f>BS67+BT67</f>
        <v>19028</v>
      </c>
      <c r="AF67" s="177">
        <f>CA67</f>
        <v>8660</v>
      </c>
      <c r="AG67" s="177">
        <f>BV67</f>
        <v>2139</v>
      </c>
      <c r="AH67" s="177">
        <f>BZ67</f>
        <v>167</v>
      </c>
      <c r="AI67" s="177">
        <f>BW67</f>
        <v>1963</v>
      </c>
      <c r="AJ67" s="177">
        <f>BY67</f>
        <v>8796</v>
      </c>
      <c r="AK67" s="179">
        <f>CB67</f>
        <v>12119</v>
      </c>
      <c r="AL67" s="177">
        <f>CE67</f>
        <v>12819</v>
      </c>
      <c r="AM67" s="177">
        <f>CH67</f>
        <v>0</v>
      </c>
      <c r="AN67" s="177">
        <f>CJ67</f>
        <v>1868</v>
      </c>
      <c r="AO67" s="177">
        <f t="shared" si="141"/>
        <v>987</v>
      </c>
      <c r="AP67" s="177">
        <f t="shared" si="141"/>
        <v>257</v>
      </c>
      <c r="AQ67" s="177">
        <f>CK67</f>
        <v>2234</v>
      </c>
      <c r="AR67" s="177">
        <f>CI67</f>
        <v>753</v>
      </c>
      <c r="AS67" s="178">
        <f>CF67+CG67</f>
        <v>1387</v>
      </c>
      <c r="AT67" s="177">
        <v>0</v>
      </c>
      <c r="AU67" s="177">
        <v>0</v>
      </c>
      <c r="AV67" s="177">
        <v>801</v>
      </c>
      <c r="AW67" s="177">
        <v>3794</v>
      </c>
      <c r="AX67" s="177">
        <v>189</v>
      </c>
      <c r="AY67" s="177">
        <v>0</v>
      </c>
      <c r="AZ67" s="177">
        <v>0</v>
      </c>
      <c r="BA67" s="177">
        <v>211</v>
      </c>
      <c r="BB67" s="177">
        <v>0</v>
      </c>
      <c r="BC67" s="177">
        <v>0</v>
      </c>
      <c r="BD67" s="177">
        <v>0</v>
      </c>
      <c r="BE67" s="177">
        <v>0</v>
      </c>
      <c r="BF67" s="179">
        <v>522</v>
      </c>
      <c r="BG67" s="177">
        <v>0</v>
      </c>
      <c r="BH67" s="177">
        <v>0</v>
      </c>
      <c r="BI67" s="177">
        <v>105</v>
      </c>
      <c r="BJ67" s="177">
        <v>299</v>
      </c>
      <c r="BK67" s="177">
        <v>0</v>
      </c>
      <c r="BL67" s="177">
        <v>0</v>
      </c>
      <c r="BM67" s="177">
        <v>0</v>
      </c>
      <c r="BN67" s="177">
        <v>0</v>
      </c>
      <c r="BO67" s="177">
        <v>0</v>
      </c>
      <c r="BP67" s="177">
        <v>580</v>
      </c>
      <c r="BQ67" s="177">
        <v>65</v>
      </c>
      <c r="BR67" s="179">
        <v>1428</v>
      </c>
      <c r="BS67" s="177">
        <v>0</v>
      </c>
      <c r="BT67" s="177">
        <v>19028</v>
      </c>
      <c r="BU67" s="177">
        <v>2272</v>
      </c>
      <c r="BV67" s="177">
        <v>2139</v>
      </c>
      <c r="BW67" s="177">
        <v>1963</v>
      </c>
      <c r="BX67" s="177">
        <v>12838</v>
      </c>
      <c r="BY67" s="177">
        <v>8796</v>
      </c>
      <c r="BZ67" s="177">
        <v>167</v>
      </c>
      <c r="CA67" s="177">
        <v>8660</v>
      </c>
      <c r="CB67" s="179">
        <v>12119</v>
      </c>
      <c r="CC67" s="177">
        <v>987</v>
      </c>
      <c r="CD67" s="177">
        <v>257</v>
      </c>
      <c r="CE67" s="177">
        <v>12819</v>
      </c>
      <c r="CF67" s="177">
        <v>0</v>
      </c>
      <c r="CG67" s="177">
        <v>1387</v>
      </c>
      <c r="CH67" s="177">
        <v>0</v>
      </c>
      <c r="CI67" s="177">
        <v>753</v>
      </c>
      <c r="CJ67" s="177">
        <v>1868</v>
      </c>
      <c r="CK67" s="178">
        <v>2234</v>
      </c>
      <c r="CL67" s="180">
        <f>SUM(AT67:CK67)</f>
        <v>96281</v>
      </c>
    </row>
    <row r="68" spans="1:90">
      <c r="A68" s="93">
        <f>ROWS($A$3:A66)</f>
        <v>64</v>
      </c>
      <c r="B68" s="67" t="s">
        <v>87</v>
      </c>
      <c r="C68" s="243"/>
      <c r="D68" s="319"/>
      <c r="E68" s="320"/>
      <c r="F68" s="156"/>
      <c r="G68" s="177"/>
      <c r="H68" s="177"/>
      <c r="I68" s="178"/>
      <c r="J68" s="181"/>
      <c r="K68" s="156"/>
      <c r="L68" s="177"/>
      <c r="M68" s="177"/>
      <c r="N68" s="177"/>
      <c r="O68" s="177"/>
      <c r="P68" s="177"/>
      <c r="Q68" s="177"/>
      <c r="R68" s="177"/>
      <c r="S68" s="177"/>
      <c r="T68" s="177"/>
      <c r="U68" s="179"/>
      <c r="V68" s="177"/>
      <c r="W68" s="177"/>
      <c r="X68" s="177"/>
      <c r="Y68" s="177"/>
      <c r="Z68" s="177"/>
      <c r="AA68" s="177"/>
      <c r="AB68" s="179"/>
      <c r="AC68" s="177"/>
      <c r="AD68" s="177"/>
      <c r="AE68" s="177"/>
      <c r="AF68" s="177"/>
      <c r="AG68" s="177"/>
      <c r="AH68" s="177"/>
      <c r="AI68" s="177"/>
      <c r="AJ68" s="177"/>
      <c r="AK68" s="179"/>
      <c r="AL68" s="177"/>
      <c r="AM68" s="177"/>
      <c r="AN68" s="177"/>
      <c r="AO68" s="177"/>
      <c r="AP68" s="177"/>
      <c r="AQ68" s="177"/>
      <c r="AR68" s="177"/>
      <c r="AS68" s="178"/>
      <c r="AT68" s="177"/>
      <c r="AU68" s="177"/>
      <c r="AV68" s="177"/>
      <c r="AW68" s="177"/>
      <c r="AX68" s="177"/>
      <c r="AY68" s="177"/>
      <c r="AZ68" s="177"/>
      <c r="BA68" s="177"/>
      <c r="BB68" s="177"/>
      <c r="BC68" s="177"/>
      <c r="BD68" s="177"/>
      <c r="BE68" s="177"/>
      <c r="BF68" s="179"/>
      <c r="BG68" s="177"/>
      <c r="BH68" s="177"/>
      <c r="BI68" s="177"/>
      <c r="BJ68" s="177"/>
      <c r="BK68" s="177"/>
      <c r="BL68" s="177"/>
      <c r="BM68" s="177"/>
      <c r="BN68" s="177"/>
      <c r="BO68" s="177"/>
      <c r="BP68" s="177"/>
      <c r="BQ68" s="177"/>
      <c r="BR68" s="179"/>
      <c r="BS68" s="177"/>
      <c r="BT68" s="177"/>
      <c r="BU68" s="177"/>
      <c r="BV68" s="177"/>
      <c r="BW68" s="177"/>
      <c r="BX68" s="177"/>
      <c r="BY68" s="177"/>
      <c r="BZ68" s="177"/>
      <c r="CA68" s="177"/>
      <c r="CB68" s="179"/>
      <c r="CC68" s="177"/>
      <c r="CD68" s="177"/>
      <c r="CE68" s="177"/>
      <c r="CF68" s="177"/>
      <c r="CG68" s="177"/>
      <c r="CH68" s="177"/>
      <c r="CI68" s="177"/>
      <c r="CJ68" s="177"/>
      <c r="CK68" s="178"/>
      <c r="CL68" s="180"/>
    </row>
    <row r="69" spans="1:90">
      <c r="A69" s="93">
        <f>ROWS($A$3:A67)</f>
        <v>65</v>
      </c>
      <c r="B69" s="106" t="s">
        <v>299</v>
      </c>
      <c r="C69" s="242">
        <v>2010</v>
      </c>
      <c r="D69" s="319" t="s">
        <v>14</v>
      </c>
      <c r="E69" s="320"/>
      <c r="F69" s="156">
        <v>831</v>
      </c>
      <c r="G69" s="177">
        <v>232</v>
      </c>
      <c r="H69" s="177">
        <v>1049</v>
      </c>
      <c r="I69" s="178">
        <v>930</v>
      </c>
      <c r="J69" s="181"/>
      <c r="K69" s="156">
        <f>BF69</f>
        <v>92</v>
      </c>
      <c r="L69" s="177">
        <f>AY69</f>
        <v>142</v>
      </c>
      <c r="M69" s="177">
        <f>BD69</f>
        <v>101</v>
      </c>
      <c r="N69" s="177">
        <f>AW69</f>
        <v>45</v>
      </c>
      <c r="O69" s="177">
        <f>BE69</f>
        <v>46</v>
      </c>
      <c r="P69" s="177">
        <f>SUM(AZ69,BA69)</f>
        <v>69</v>
      </c>
      <c r="Q69" s="177">
        <f>'2010'!AU69</f>
        <v>29</v>
      </c>
      <c r="R69" s="177">
        <f>SUM(AT69+AX69)</f>
        <v>62</v>
      </c>
      <c r="S69" s="177">
        <f>AV69</f>
        <v>47</v>
      </c>
      <c r="T69" s="177">
        <f>BB69</f>
        <v>74</v>
      </c>
      <c r="U69" s="179">
        <f>BC69</f>
        <v>124</v>
      </c>
      <c r="V69" s="177">
        <f>SUM(BG69,BJ69)</f>
        <v>21</v>
      </c>
      <c r="W69" s="177">
        <f>BR69</f>
        <v>38</v>
      </c>
      <c r="X69" s="177">
        <f>SUM(BH69,BI69)</f>
        <v>38</v>
      </c>
      <c r="Y69" s="177">
        <f>SUM(BK69,BL69,BN69)</f>
        <v>33</v>
      </c>
      <c r="Z69" s="177">
        <f>BM69</f>
        <v>35</v>
      </c>
      <c r="AA69" s="177">
        <f>SUM(BO69,BQ69)</f>
        <v>35</v>
      </c>
      <c r="AB69" s="179">
        <f>BP69</f>
        <v>26</v>
      </c>
      <c r="AC69" s="177">
        <f>BX69</f>
        <v>101</v>
      </c>
      <c r="AD69" s="177">
        <f>BU69</f>
        <v>69</v>
      </c>
      <c r="AE69" s="177">
        <f>SUM(BS69+BT69)</f>
        <v>270</v>
      </c>
      <c r="AF69" s="177">
        <f>CA69</f>
        <v>102</v>
      </c>
      <c r="AG69" s="177">
        <f>BV69</f>
        <v>132</v>
      </c>
      <c r="AH69" s="177">
        <f>BZ69</f>
        <v>106</v>
      </c>
      <c r="AI69" s="177">
        <f>BW69</f>
        <v>50</v>
      </c>
      <c r="AJ69" s="177">
        <f>BY69</f>
        <v>40</v>
      </c>
      <c r="AK69" s="179">
        <f>CB69</f>
        <v>179</v>
      </c>
      <c r="AL69" s="177">
        <f>CE69</f>
        <v>66</v>
      </c>
      <c r="AM69" s="177">
        <f>CH69</f>
        <v>67</v>
      </c>
      <c r="AN69" s="177">
        <f>CJ69</f>
        <v>325</v>
      </c>
      <c r="AO69" s="177">
        <f>CC69</f>
        <v>86</v>
      </c>
      <c r="AP69" s="177">
        <f>CD69</f>
        <v>39</v>
      </c>
      <c r="AQ69" s="177">
        <f>CK69</f>
        <v>77</v>
      </c>
      <c r="AR69" s="177">
        <f>CI69</f>
        <v>194</v>
      </c>
      <c r="AS69" s="178">
        <f>SUM(CF69:CG69)</f>
        <v>76</v>
      </c>
      <c r="AT69" s="177">
        <v>8</v>
      </c>
      <c r="AU69" s="177">
        <v>29</v>
      </c>
      <c r="AV69" s="177">
        <v>47</v>
      </c>
      <c r="AW69" s="177">
        <v>45</v>
      </c>
      <c r="AX69" s="177">
        <v>54</v>
      </c>
      <c r="AY69" s="177">
        <v>142</v>
      </c>
      <c r="AZ69" s="177">
        <v>5</v>
      </c>
      <c r="BA69" s="177">
        <v>64</v>
      </c>
      <c r="BB69" s="177">
        <v>74</v>
      </c>
      <c r="BC69" s="177">
        <v>124</v>
      </c>
      <c r="BD69" s="177">
        <v>101</v>
      </c>
      <c r="BE69" s="177">
        <v>46</v>
      </c>
      <c r="BF69" s="179">
        <v>92</v>
      </c>
      <c r="BG69" s="177">
        <v>4</v>
      </c>
      <c r="BH69" s="177">
        <v>5</v>
      </c>
      <c r="BI69" s="177">
        <v>33</v>
      </c>
      <c r="BJ69" s="177">
        <v>17</v>
      </c>
      <c r="BK69" s="177" t="s">
        <v>252</v>
      </c>
      <c r="BL69" s="177" t="s">
        <v>301</v>
      </c>
      <c r="BM69" s="177">
        <v>35</v>
      </c>
      <c r="BN69" s="177">
        <v>33</v>
      </c>
      <c r="BO69" s="177" t="s">
        <v>252</v>
      </c>
      <c r="BP69" s="177">
        <v>26</v>
      </c>
      <c r="BQ69" s="177">
        <v>35</v>
      </c>
      <c r="BR69" s="179">
        <v>38</v>
      </c>
      <c r="BS69" s="177">
        <v>15</v>
      </c>
      <c r="BT69" s="177">
        <v>255</v>
      </c>
      <c r="BU69" s="177">
        <v>69</v>
      </c>
      <c r="BV69" s="177">
        <v>132</v>
      </c>
      <c r="BW69" s="177">
        <v>50</v>
      </c>
      <c r="BX69" s="177">
        <v>101</v>
      </c>
      <c r="BY69" s="177">
        <v>40</v>
      </c>
      <c r="BZ69" s="177">
        <v>106</v>
      </c>
      <c r="CA69" s="177">
        <v>102</v>
      </c>
      <c r="CB69" s="179">
        <v>179</v>
      </c>
      <c r="CC69" s="177">
        <v>86</v>
      </c>
      <c r="CD69" s="177">
        <v>39</v>
      </c>
      <c r="CE69" s="177">
        <v>66</v>
      </c>
      <c r="CF69" s="177" t="s">
        <v>301</v>
      </c>
      <c r="CG69" s="177">
        <v>76</v>
      </c>
      <c r="CH69" s="177">
        <v>67</v>
      </c>
      <c r="CI69" s="177">
        <v>194</v>
      </c>
      <c r="CJ69" s="177">
        <v>325</v>
      </c>
      <c r="CK69" s="178">
        <v>77</v>
      </c>
      <c r="CL69" s="180">
        <v>3042</v>
      </c>
    </row>
    <row r="70" spans="1:90">
      <c r="A70" s="93">
        <f>ROWS($A$3:A68)</f>
        <v>66</v>
      </c>
      <c r="B70" s="106" t="s">
        <v>74</v>
      </c>
      <c r="C70" s="312"/>
      <c r="D70" s="319" t="s">
        <v>1</v>
      </c>
      <c r="E70" s="320"/>
      <c r="F70" s="377">
        <v>25349</v>
      </c>
      <c r="G70" s="181">
        <v>9639</v>
      </c>
      <c r="H70" s="181">
        <v>32376</v>
      </c>
      <c r="I70" s="373">
        <v>31003</v>
      </c>
      <c r="J70" s="181"/>
      <c r="K70" s="156">
        <f>BF70</f>
        <v>3020</v>
      </c>
      <c r="L70" s="177">
        <f>AY70</f>
        <v>2688</v>
      </c>
      <c r="M70" s="177">
        <f>BD70</f>
        <v>3322</v>
      </c>
      <c r="N70" s="177">
        <f>AW70</f>
        <v>1586</v>
      </c>
      <c r="O70" s="177">
        <f>BE70</f>
        <v>2579</v>
      </c>
      <c r="P70" s="177">
        <f>SUM(AZ70,BA70)</f>
        <v>1713</v>
      </c>
      <c r="Q70" s="177">
        <f>'2010'!AU70</f>
        <v>1115</v>
      </c>
      <c r="R70" s="177">
        <f>SUM(AT70+AX70)</f>
        <v>1244</v>
      </c>
      <c r="S70" s="177">
        <f>AV70</f>
        <v>1401</v>
      </c>
      <c r="T70" s="177">
        <f>BB70</f>
        <v>2066</v>
      </c>
      <c r="U70" s="179">
        <f>BC70</f>
        <v>4615</v>
      </c>
      <c r="V70" s="177">
        <f>SUM(BG70,BJ70)</f>
        <v>440</v>
      </c>
      <c r="W70" s="177">
        <f>BR70</f>
        <v>1468</v>
      </c>
      <c r="X70" s="177">
        <f>SUM(BH70,BI70)</f>
        <v>1104</v>
      </c>
      <c r="Y70" s="177">
        <f>SUM(BK70,BL70,BN70)</f>
        <v>1208</v>
      </c>
      <c r="Z70" s="177">
        <f>BM70</f>
        <v>1904</v>
      </c>
      <c r="AA70" s="177">
        <f>SUM(BO70,BQ70)</f>
        <v>1973</v>
      </c>
      <c r="AB70" s="179">
        <f>BP70</f>
        <v>1086</v>
      </c>
      <c r="AC70" s="177">
        <f>BX70</f>
        <v>3397</v>
      </c>
      <c r="AD70" s="177">
        <f>BU70</f>
        <v>1320</v>
      </c>
      <c r="AE70" s="177">
        <f>SUM(BS70+BT70)</f>
        <v>7008</v>
      </c>
      <c r="AF70" s="177">
        <f>CA70</f>
        <v>3239</v>
      </c>
      <c r="AG70" s="177">
        <f>BV70</f>
        <v>3349</v>
      </c>
      <c r="AH70" s="177">
        <f>BZ70</f>
        <v>2996</v>
      </c>
      <c r="AI70" s="177">
        <f>BW70</f>
        <v>1620</v>
      </c>
      <c r="AJ70" s="177">
        <f>BY70</f>
        <v>2536</v>
      </c>
      <c r="AK70" s="179">
        <f>CB70</f>
        <v>6911</v>
      </c>
      <c r="AL70" s="177">
        <f>CE70</f>
        <v>3625</v>
      </c>
      <c r="AM70" s="177">
        <f>CH70</f>
        <v>3116</v>
      </c>
      <c r="AN70" s="177">
        <f>CJ70</f>
        <v>8895</v>
      </c>
      <c r="AO70" s="177">
        <f>CC70</f>
        <v>3425</v>
      </c>
      <c r="AP70" s="177">
        <f>CD70</f>
        <v>3086</v>
      </c>
      <c r="AQ70" s="177">
        <f>CK70</f>
        <v>3085</v>
      </c>
      <c r="AR70" s="177">
        <f>CI70</f>
        <v>3123</v>
      </c>
      <c r="AS70" s="178">
        <f>SUM(CF70:CG70)</f>
        <v>2648</v>
      </c>
      <c r="AT70" s="181">
        <v>190</v>
      </c>
      <c r="AU70" s="181">
        <v>1115</v>
      </c>
      <c r="AV70" s="181">
        <v>1401</v>
      </c>
      <c r="AW70" s="181">
        <v>1586</v>
      </c>
      <c r="AX70" s="181">
        <v>1054</v>
      </c>
      <c r="AY70" s="181">
        <v>2688</v>
      </c>
      <c r="AZ70" s="181">
        <v>99</v>
      </c>
      <c r="BA70" s="181">
        <v>1614</v>
      </c>
      <c r="BB70" s="181">
        <v>2066</v>
      </c>
      <c r="BC70" s="181">
        <v>4615</v>
      </c>
      <c r="BD70" s="181">
        <v>3322</v>
      </c>
      <c r="BE70" s="181">
        <v>2579</v>
      </c>
      <c r="BF70" s="372">
        <v>3020</v>
      </c>
      <c r="BG70" s="181">
        <v>213</v>
      </c>
      <c r="BH70" s="181" t="s">
        <v>252</v>
      </c>
      <c r="BI70" s="181">
        <v>1104</v>
      </c>
      <c r="BJ70" s="181">
        <v>227</v>
      </c>
      <c r="BK70" s="181" t="s">
        <v>252</v>
      </c>
      <c r="BL70" s="181" t="s">
        <v>301</v>
      </c>
      <c r="BM70" s="181">
        <v>1904</v>
      </c>
      <c r="BN70" s="181">
        <v>1208</v>
      </c>
      <c r="BO70" s="181" t="s">
        <v>252</v>
      </c>
      <c r="BP70" s="181">
        <v>1086</v>
      </c>
      <c r="BQ70" s="181">
        <v>1973</v>
      </c>
      <c r="BR70" s="372">
        <v>1468</v>
      </c>
      <c r="BS70" s="181">
        <v>244</v>
      </c>
      <c r="BT70" s="181">
        <v>6764</v>
      </c>
      <c r="BU70" s="181">
        <v>1320</v>
      </c>
      <c r="BV70" s="181">
        <v>3349</v>
      </c>
      <c r="BW70" s="181">
        <v>1620</v>
      </c>
      <c r="BX70" s="181">
        <v>3397</v>
      </c>
      <c r="BY70" s="181">
        <v>2536</v>
      </c>
      <c r="BZ70" s="181">
        <v>2996</v>
      </c>
      <c r="CA70" s="181">
        <v>3239</v>
      </c>
      <c r="CB70" s="372">
        <v>6911</v>
      </c>
      <c r="CC70" s="181">
        <v>3425</v>
      </c>
      <c r="CD70" s="181">
        <v>3086</v>
      </c>
      <c r="CE70" s="181">
        <v>3625</v>
      </c>
      <c r="CF70" s="177" t="s">
        <v>301</v>
      </c>
      <c r="CG70" s="181">
        <v>2648</v>
      </c>
      <c r="CH70" s="181">
        <v>3116</v>
      </c>
      <c r="CI70" s="181">
        <v>3123</v>
      </c>
      <c r="CJ70" s="181">
        <v>8895</v>
      </c>
      <c r="CK70" s="373">
        <v>3085</v>
      </c>
      <c r="CL70" s="318">
        <v>98367</v>
      </c>
    </row>
    <row r="71" spans="1:90">
      <c r="A71" s="93">
        <f>ROWS($A$3:A69)</f>
        <v>67</v>
      </c>
      <c r="B71" s="62" t="s">
        <v>300</v>
      </c>
      <c r="C71" s="312"/>
      <c r="D71" s="319" t="s">
        <v>1</v>
      </c>
      <c r="E71" s="320"/>
      <c r="F71" s="207">
        <f>IF(ISERROR(F70/F69)=FALSE,F70/F69," -")</f>
        <v>30.504211793020456</v>
      </c>
      <c r="G71" s="208">
        <f>IF(ISERROR(G70/G69)=FALSE,G70/G69," -")</f>
        <v>41.547413793103445</v>
      </c>
      <c r="H71" s="208">
        <f>IF(ISERROR(H70/H69)=FALSE,H70/H69," -")</f>
        <v>30.863679694947567</v>
      </c>
      <c r="I71" s="209">
        <f>IF(ISERROR(I70/I69)=FALSE,I70/I69," -")</f>
        <v>33.336559139784946</v>
      </c>
      <c r="J71" s="213"/>
      <c r="K71" s="207">
        <f t="shared" ref="K71:AP71" si="143">IF(ISERROR(K70/K69)=FALSE,K70/K69," -")</f>
        <v>32.826086956521742</v>
      </c>
      <c r="L71" s="208">
        <f t="shared" si="143"/>
        <v>18.929577464788732</v>
      </c>
      <c r="M71" s="208">
        <f t="shared" si="143"/>
        <v>32.89108910891089</v>
      </c>
      <c r="N71" s="208">
        <f t="shared" si="143"/>
        <v>35.244444444444447</v>
      </c>
      <c r="O71" s="208">
        <f t="shared" si="143"/>
        <v>56.065217391304351</v>
      </c>
      <c r="P71" s="208">
        <f t="shared" si="143"/>
        <v>24.826086956521738</v>
      </c>
      <c r="Q71" s="208">
        <f t="shared" si="143"/>
        <v>38.448275862068968</v>
      </c>
      <c r="R71" s="208">
        <f t="shared" si="143"/>
        <v>20.06451612903226</v>
      </c>
      <c r="S71" s="208">
        <f t="shared" si="143"/>
        <v>29.808510638297872</v>
      </c>
      <c r="T71" s="208">
        <f t="shared" si="143"/>
        <v>27.918918918918919</v>
      </c>
      <c r="U71" s="216">
        <f t="shared" si="143"/>
        <v>37.217741935483872</v>
      </c>
      <c r="V71" s="208">
        <f t="shared" si="143"/>
        <v>20.952380952380953</v>
      </c>
      <c r="W71" s="208">
        <f t="shared" si="143"/>
        <v>38.631578947368418</v>
      </c>
      <c r="X71" s="208">
        <f t="shared" si="143"/>
        <v>29.05263157894737</v>
      </c>
      <c r="Y71" s="208">
        <f t="shared" si="143"/>
        <v>36.606060606060609</v>
      </c>
      <c r="Z71" s="208">
        <f t="shared" si="143"/>
        <v>54.4</v>
      </c>
      <c r="AA71" s="208">
        <f t="shared" si="143"/>
        <v>56.371428571428574</v>
      </c>
      <c r="AB71" s="216">
        <f t="shared" si="143"/>
        <v>41.769230769230766</v>
      </c>
      <c r="AC71" s="208">
        <f t="shared" si="143"/>
        <v>33.633663366336634</v>
      </c>
      <c r="AD71" s="208">
        <f t="shared" si="143"/>
        <v>19.130434782608695</v>
      </c>
      <c r="AE71" s="208">
        <f t="shared" si="143"/>
        <v>25.955555555555556</v>
      </c>
      <c r="AF71" s="208">
        <f t="shared" si="143"/>
        <v>31.754901960784313</v>
      </c>
      <c r="AG71" s="208">
        <f t="shared" si="143"/>
        <v>25.371212121212121</v>
      </c>
      <c r="AH71" s="208">
        <f t="shared" si="143"/>
        <v>28.264150943396228</v>
      </c>
      <c r="AI71" s="208">
        <f t="shared" si="143"/>
        <v>32.4</v>
      </c>
      <c r="AJ71" s="208">
        <f t="shared" si="143"/>
        <v>63.4</v>
      </c>
      <c r="AK71" s="216">
        <f t="shared" si="143"/>
        <v>38.608938547486034</v>
      </c>
      <c r="AL71" s="208">
        <f t="shared" si="143"/>
        <v>54.924242424242422</v>
      </c>
      <c r="AM71" s="208">
        <f t="shared" si="143"/>
        <v>46.507462686567166</v>
      </c>
      <c r="AN71" s="208">
        <f t="shared" si="143"/>
        <v>27.369230769230768</v>
      </c>
      <c r="AO71" s="208">
        <f t="shared" si="143"/>
        <v>39.825581395348834</v>
      </c>
      <c r="AP71" s="208">
        <f t="shared" si="143"/>
        <v>79.128205128205124</v>
      </c>
      <c r="AQ71" s="208">
        <f t="shared" ref="AQ71:BV71" si="144">IF(ISERROR(AQ70/AQ69)=FALSE,AQ70/AQ69," -")</f>
        <v>40.064935064935064</v>
      </c>
      <c r="AR71" s="208">
        <f t="shared" si="144"/>
        <v>16.097938144329898</v>
      </c>
      <c r="AS71" s="209">
        <f t="shared" si="144"/>
        <v>34.842105263157897</v>
      </c>
      <c r="AT71" s="208">
        <f t="shared" si="144"/>
        <v>23.75</v>
      </c>
      <c r="AU71" s="208">
        <f t="shared" si="144"/>
        <v>38.448275862068968</v>
      </c>
      <c r="AV71" s="208">
        <f t="shared" si="144"/>
        <v>29.808510638297872</v>
      </c>
      <c r="AW71" s="208">
        <f t="shared" si="144"/>
        <v>35.244444444444447</v>
      </c>
      <c r="AX71" s="208">
        <f t="shared" si="144"/>
        <v>19.518518518518519</v>
      </c>
      <c r="AY71" s="208">
        <f t="shared" si="144"/>
        <v>18.929577464788732</v>
      </c>
      <c r="AZ71" s="208">
        <f t="shared" si="144"/>
        <v>19.8</v>
      </c>
      <c r="BA71" s="208">
        <f t="shared" si="144"/>
        <v>25.21875</v>
      </c>
      <c r="BB71" s="208">
        <f t="shared" si="144"/>
        <v>27.918918918918919</v>
      </c>
      <c r="BC71" s="208">
        <f t="shared" si="144"/>
        <v>37.217741935483872</v>
      </c>
      <c r="BD71" s="208">
        <f t="shared" si="144"/>
        <v>32.89108910891089</v>
      </c>
      <c r="BE71" s="208">
        <f t="shared" si="144"/>
        <v>56.065217391304351</v>
      </c>
      <c r="BF71" s="216">
        <f t="shared" si="144"/>
        <v>32.826086956521742</v>
      </c>
      <c r="BG71" s="208">
        <f t="shared" si="144"/>
        <v>53.25</v>
      </c>
      <c r="BH71" s="208" t="str">
        <f t="shared" si="144"/>
        <v xml:space="preserve"> -</v>
      </c>
      <c r="BI71" s="208">
        <f t="shared" si="144"/>
        <v>33.454545454545453</v>
      </c>
      <c r="BJ71" s="208">
        <f t="shared" si="144"/>
        <v>13.352941176470589</v>
      </c>
      <c r="BK71" s="208" t="str">
        <f t="shared" si="144"/>
        <v xml:space="preserve"> -</v>
      </c>
      <c r="BL71" s="208" t="str">
        <f t="shared" si="144"/>
        <v xml:space="preserve"> -</v>
      </c>
      <c r="BM71" s="208">
        <f t="shared" si="144"/>
        <v>54.4</v>
      </c>
      <c r="BN71" s="208">
        <f t="shared" si="144"/>
        <v>36.606060606060609</v>
      </c>
      <c r="BO71" s="208" t="str">
        <f t="shared" si="144"/>
        <v xml:space="preserve"> -</v>
      </c>
      <c r="BP71" s="208">
        <f t="shared" si="144"/>
        <v>41.769230769230766</v>
      </c>
      <c r="BQ71" s="208">
        <f t="shared" si="144"/>
        <v>56.371428571428574</v>
      </c>
      <c r="BR71" s="216">
        <f t="shared" si="144"/>
        <v>38.631578947368418</v>
      </c>
      <c r="BS71" s="208">
        <f t="shared" si="144"/>
        <v>16.266666666666666</v>
      </c>
      <c r="BT71" s="208">
        <f t="shared" si="144"/>
        <v>26.525490196078433</v>
      </c>
      <c r="BU71" s="208">
        <f t="shared" si="144"/>
        <v>19.130434782608695</v>
      </c>
      <c r="BV71" s="208">
        <f t="shared" si="144"/>
        <v>25.371212121212121</v>
      </c>
      <c r="BW71" s="208">
        <f t="shared" ref="BW71:CK71" si="145">IF(ISERROR(BW70/BW69)=FALSE,BW70/BW69," -")</f>
        <v>32.4</v>
      </c>
      <c r="BX71" s="208">
        <f t="shared" si="145"/>
        <v>33.633663366336634</v>
      </c>
      <c r="BY71" s="208">
        <f t="shared" si="145"/>
        <v>63.4</v>
      </c>
      <c r="BZ71" s="208">
        <f t="shared" si="145"/>
        <v>28.264150943396228</v>
      </c>
      <c r="CA71" s="208">
        <f t="shared" si="145"/>
        <v>31.754901960784313</v>
      </c>
      <c r="CB71" s="216">
        <f t="shared" si="145"/>
        <v>38.608938547486034</v>
      </c>
      <c r="CC71" s="208">
        <f t="shared" si="145"/>
        <v>39.825581395348834</v>
      </c>
      <c r="CD71" s="208">
        <f t="shared" si="145"/>
        <v>79.128205128205124</v>
      </c>
      <c r="CE71" s="208">
        <f t="shared" si="145"/>
        <v>54.924242424242422</v>
      </c>
      <c r="CF71" s="208" t="str">
        <f t="shared" si="145"/>
        <v xml:space="preserve"> -</v>
      </c>
      <c r="CG71" s="208">
        <f t="shared" si="145"/>
        <v>34.842105263157897</v>
      </c>
      <c r="CH71" s="208">
        <f t="shared" si="145"/>
        <v>46.507462686567166</v>
      </c>
      <c r="CI71" s="208">
        <f t="shared" si="145"/>
        <v>16.097938144329898</v>
      </c>
      <c r="CJ71" s="208">
        <f t="shared" si="145"/>
        <v>27.369230769230768</v>
      </c>
      <c r="CK71" s="208">
        <f t="shared" si="145"/>
        <v>40.064935064935064</v>
      </c>
      <c r="CL71" s="217">
        <f>IF(OR(CL69&lt;0.1,CL70&lt;0.1),0,CL70/CL69)</f>
        <v>32.336291913214993</v>
      </c>
    </row>
    <row r="72" spans="1:90">
      <c r="A72" s="93">
        <f>ROWS($A$3:A70)</f>
        <v>68</v>
      </c>
      <c r="B72" s="67" t="s">
        <v>89</v>
      </c>
      <c r="C72" s="243"/>
      <c r="D72" s="319"/>
      <c r="E72" s="320"/>
      <c r="F72" s="156"/>
      <c r="G72" s="177"/>
      <c r="H72" s="177"/>
      <c r="I72" s="178"/>
      <c r="J72" s="181"/>
      <c r="K72" s="156"/>
      <c r="L72" s="177"/>
      <c r="M72" s="177"/>
      <c r="N72" s="177"/>
      <c r="O72" s="177"/>
      <c r="P72" s="177"/>
      <c r="Q72" s="177"/>
      <c r="R72" s="177"/>
      <c r="S72" s="177"/>
      <c r="T72" s="177"/>
      <c r="U72" s="179"/>
      <c r="V72" s="177"/>
      <c r="W72" s="177"/>
      <c r="X72" s="177"/>
      <c r="Y72" s="177"/>
      <c r="Z72" s="177"/>
      <c r="AA72" s="177"/>
      <c r="AB72" s="179"/>
      <c r="AC72" s="177"/>
      <c r="AD72" s="177"/>
      <c r="AE72" s="177"/>
      <c r="AF72" s="177"/>
      <c r="AG72" s="177"/>
      <c r="AH72" s="177"/>
      <c r="AI72" s="177"/>
      <c r="AJ72" s="177"/>
      <c r="AK72" s="179"/>
      <c r="AL72" s="177"/>
      <c r="AM72" s="177"/>
      <c r="AN72" s="177"/>
      <c r="AO72" s="177"/>
      <c r="AP72" s="177"/>
      <c r="AQ72" s="177"/>
      <c r="AR72" s="177"/>
      <c r="AS72" s="178"/>
      <c r="AT72" s="177"/>
      <c r="AU72" s="177"/>
      <c r="AV72" s="177"/>
      <c r="AW72" s="177"/>
      <c r="AX72" s="177"/>
      <c r="AY72" s="177"/>
      <c r="AZ72" s="177"/>
      <c r="BA72" s="177"/>
      <c r="BB72" s="177"/>
      <c r="BC72" s="177"/>
      <c r="BD72" s="177"/>
      <c r="BE72" s="177"/>
      <c r="BF72" s="179"/>
      <c r="BG72" s="177"/>
      <c r="BH72" s="177"/>
      <c r="BI72" s="177"/>
      <c r="BJ72" s="177"/>
      <c r="BK72" s="177"/>
      <c r="BL72" s="177"/>
      <c r="BM72" s="177"/>
      <c r="BN72" s="177"/>
      <c r="BO72" s="177"/>
      <c r="BP72" s="177"/>
      <c r="BQ72" s="177"/>
      <c r="BR72" s="179"/>
      <c r="BS72" s="177"/>
      <c r="BT72" s="177"/>
      <c r="BU72" s="177"/>
      <c r="BV72" s="177"/>
      <c r="BW72" s="177"/>
      <c r="BX72" s="177"/>
      <c r="BY72" s="177"/>
      <c r="BZ72" s="177"/>
      <c r="CA72" s="177"/>
      <c r="CB72" s="179"/>
      <c r="CC72" s="177"/>
      <c r="CD72" s="177"/>
      <c r="CE72" s="177"/>
      <c r="CF72" s="177"/>
      <c r="CG72" s="177"/>
      <c r="CH72" s="177"/>
      <c r="CI72" s="177"/>
      <c r="CJ72" s="177"/>
      <c r="CK72" s="178"/>
      <c r="CL72" s="180"/>
    </row>
    <row r="73" spans="1:90">
      <c r="A73" s="93">
        <f>ROWS($A$3:A71)</f>
        <v>69</v>
      </c>
      <c r="B73" s="106" t="s">
        <v>90</v>
      </c>
      <c r="C73" s="242">
        <v>2010</v>
      </c>
      <c r="D73" s="319" t="s">
        <v>14</v>
      </c>
      <c r="E73" s="320"/>
      <c r="F73" s="156">
        <v>2934</v>
      </c>
      <c r="G73" s="177">
        <v>1628</v>
      </c>
      <c r="H73" s="177">
        <v>1925</v>
      </c>
      <c r="I73" s="178">
        <v>2407</v>
      </c>
      <c r="J73" s="181"/>
      <c r="K73" s="156">
        <f t="shared" ref="K73:K78" si="146">BF73</f>
        <v>261</v>
      </c>
      <c r="L73" s="177">
        <f t="shared" ref="L73:L78" si="147">AY73</f>
        <v>128</v>
      </c>
      <c r="M73" s="177">
        <f t="shared" ref="M73:M78" si="148">BD73</f>
        <v>692</v>
      </c>
      <c r="N73" s="177">
        <f t="shared" ref="N73:N78" si="149">AW73</f>
        <v>93</v>
      </c>
      <c r="O73" s="177">
        <f t="shared" ref="O73:O78" si="150">BE73</f>
        <v>141</v>
      </c>
      <c r="P73" s="177">
        <f t="shared" ref="P73:P78" si="151">SUM(AZ73,BA73)</f>
        <v>467</v>
      </c>
      <c r="Q73" s="177">
        <f>'2010'!AU73</f>
        <v>256</v>
      </c>
      <c r="R73" s="177">
        <f t="shared" ref="R73:R78" si="152">SUM(AT73,AX73)</f>
        <v>320</v>
      </c>
      <c r="S73" s="177">
        <f t="shared" ref="S73:S78" si="153">AV73</f>
        <v>167</v>
      </c>
      <c r="T73" s="177">
        <f t="shared" ref="T73:U78" si="154">BB73</f>
        <v>195</v>
      </c>
      <c r="U73" s="179">
        <f t="shared" si="154"/>
        <v>214</v>
      </c>
      <c r="V73" s="177">
        <f t="shared" ref="V73:V78" si="155">SUM(BG73,BJ73)</f>
        <v>118</v>
      </c>
      <c r="W73" s="177">
        <f t="shared" ref="W73:W78" si="156">BR73</f>
        <v>139</v>
      </c>
      <c r="X73" s="177">
        <f t="shared" ref="X73:X78" si="157">SUM(BH73,BI73)</f>
        <v>350</v>
      </c>
      <c r="Y73" s="177">
        <f t="shared" ref="Y73:Y78" si="158">SUM(BK73,BL73,BN73)</f>
        <v>461</v>
      </c>
      <c r="Z73" s="177">
        <f t="shared" ref="Z73:Z78" si="159">BM73</f>
        <v>333</v>
      </c>
      <c r="AA73" s="177">
        <f t="shared" ref="AA73:AA78" si="160">SUM(BO73,BQ73)</f>
        <v>125</v>
      </c>
      <c r="AB73" s="179">
        <f t="shared" ref="AB73:AB78" si="161">BP73</f>
        <v>92</v>
      </c>
      <c r="AC73" s="177">
        <f t="shared" ref="AC73:AC78" si="162">BX73</f>
        <v>196</v>
      </c>
      <c r="AD73" s="177">
        <f t="shared" ref="AD73:AD78" si="163">BU73</f>
        <v>154</v>
      </c>
      <c r="AE73" s="177">
        <f t="shared" ref="AE73:AE78" si="164">SUM(BS73,BT73)</f>
        <v>313</v>
      </c>
      <c r="AF73" s="177">
        <f t="shared" ref="AF73:AF78" si="165">CA73</f>
        <v>95</v>
      </c>
      <c r="AG73" s="177">
        <f t="shared" ref="AG73:AG78" si="166">BV73</f>
        <v>426</v>
      </c>
      <c r="AH73" s="177">
        <f t="shared" ref="AH73:AH78" si="167">BZ73</f>
        <v>194</v>
      </c>
      <c r="AI73" s="177">
        <f t="shared" ref="AI73:AI78" si="168">BW73</f>
        <v>199</v>
      </c>
      <c r="AJ73" s="177">
        <f t="shared" ref="AJ73:AJ78" si="169">BY73</f>
        <v>150</v>
      </c>
      <c r="AK73" s="179">
        <f t="shared" ref="AK73:AK78" si="170">CB73</f>
        <v>198</v>
      </c>
      <c r="AL73" s="177">
        <f t="shared" ref="AL73:AL78" si="171">CE73</f>
        <v>317</v>
      </c>
      <c r="AM73" s="177">
        <f t="shared" ref="AM73:AM78" si="172">CH73</f>
        <v>348</v>
      </c>
      <c r="AN73" s="177">
        <f t="shared" ref="AN73:AN78" si="173">CJ73</f>
        <v>190</v>
      </c>
      <c r="AO73" s="177">
        <f t="shared" ref="AO73:AP78" si="174">CC73</f>
        <v>306</v>
      </c>
      <c r="AP73" s="177">
        <f t="shared" si="174"/>
        <v>195</v>
      </c>
      <c r="AQ73" s="177">
        <f t="shared" ref="AQ73:AQ78" si="175">CK73</f>
        <v>347</v>
      </c>
      <c r="AR73" s="177">
        <f t="shared" ref="AR73:AR78" si="176">CI73</f>
        <v>181</v>
      </c>
      <c r="AS73" s="178">
        <f t="shared" ref="AS73:AS78" si="177">SUM(CF73,CG73)</f>
        <v>523</v>
      </c>
      <c r="AT73" s="177">
        <v>25</v>
      </c>
      <c r="AU73" s="177">
        <v>256</v>
      </c>
      <c r="AV73" s="177">
        <v>167</v>
      </c>
      <c r="AW73" s="177">
        <v>93</v>
      </c>
      <c r="AX73" s="177">
        <v>295</v>
      </c>
      <c r="AY73" s="177">
        <v>128</v>
      </c>
      <c r="AZ73" s="177">
        <v>53</v>
      </c>
      <c r="BA73" s="177">
        <v>414</v>
      </c>
      <c r="BB73" s="177">
        <v>195</v>
      </c>
      <c r="BC73" s="177">
        <v>214</v>
      </c>
      <c r="BD73" s="177">
        <v>692</v>
      </c>
      <c r="BE73" s="177">
        <v>141</v>
      </c>
      <c r="BF73" s="179">
        <v>261</v>
      </c>
      <c r="BG73" s="177">
        <v>5</v>
      </c>
      <c r="BH73" s="177">
        <v>25</v>
      </c>
      <c r="BI73" s="177">
        <v>325</v>
      </c>
      <c r="BJ73" s="177">
        <v>113</v>
      </c>
      <c r="BK73" s="177">
        <v>28</v>
      </c>
      <c r="BL73" s="177">
        <v>42</v>
      </c>
      <c r="BM73" s="177">
        <v>333</v>
      </c>
      <c r="BN73" s="177">
        <v>391</v>
      </c>
      <c r="BO73" s="177">
        <v>6</v>
      </c>
      <c r="BP73" s="177">
        <v>92</v>
      </c>
      <c r="BQ73" s="177">
        <v>119</v>
      </c>
      <c r="BR73" s="179">
        <v>139</v>
      </c>
      <c r="BS73" s="177">
        <v>17</v>
      </c>
      <c r="BT73" s="177">
        <v>296</v>
      </c>
      <c r="BU73" s="177">
        <v>154</v>
      </c>
      <c r="BV73" s="177">
        <v>426</v>
      </c>
      <c r="BW73" s="177">
        <v>199</v>
      </c>
      <c r="BX73" s="177">
        <v>196</v>
      </c>
      <c r="BY73" s="177">
        <v>150</v>
      </c>
      <c r="BZ73" s="177">
        <v>194</v>
      </c>
      <c r="CA73" s="177">
        <v>95</v>
      </c>
      <c r="CB73" s="179">
        <v>198</v>
      </c>
      <c r="CC73" s="177">
        <v>306</v>
      </c>
      <c r="CD73" s="177">
        <v>195</v>
      </c>
      <c r="CE73" s="177">
        <v>317</v>
      </c>
      <c r="CF73" s="177">
        <v>43</v>
      </c>
      <c r="CG73" s="177">
        <v>480</v>
      </c>
      <c r="CH73" s="177">
        <v>348</v>
      </c>
      <c r="CI73" s="177">
        <v>181</v>
      </c>
      <c r="CJ73" s="177">
        <v>190</v>
      </c>
      <c r="CK73" s="178">
        <v>347</v>
      </c>
      <c r="CL73" s="180">
        <v>8894</v>
      </c>
    </row>
    <row r="74" spans="1:90">
      <c r="A74" s="93">
        <f>ROWS($A$3:A72)</f>
        <v>70</v>
      </c>
      <c r="B74" s="106" t="s">
        <v>91</v>
      </c>
      <c r="C74" s="243"/>
      <c r="D74" s="319" t="s">
        <v>14</v>
      </c>
      <c r="E74" s="320"/>
      <c r="F74" s="156">
        <v>465</v>
      </c>
      <c r="G74" s="177">
        <v>243</v>
      </c>
      <c r="H74" s="177">
        <v>314</v>
      </c>
      <c r="I74" s="178">
        <v>188</v>
      </c>
      <c r="J74" s="181"/>
      <c r="K74" s="156">
        <f t="shared" si="146"/>
        <v>46</v>
      </c>
      <c r="L74" s="177">
        <f t="shared" si="147"/>
        <v>76</v>
      </c>
      <c r="M74" s="177">
        <f t="shared" si="148"/>
        <v>12</v>
      </c>
      <c r="N74" s="177">
        <f t="shared" si="149"/>
        <v>30</v>
      </c>
      <c r="O74" s="177">
        <f t="shared" si="150"/>
        <v>12</v>
      </c>
      <c r="P74" s="177">
        <f t="shared" si="151"/>
        <v>50</v>
      </c>
      <c r="Q74" s="177">
        <f>'2010'!AU74</f>
        <v>20</v>
      </c>
      <c r="R74" s="177">
        <f t="shared" si="152"/>
        <v>137</v>
      </c>
      <c r="S74" s="177">
        <f t="shared" si="153"/>
        <v>47</v>
      </c>
      <c r="T74" s="177">
        <f t="shared" si="154"/>
        <v>16</v>
      </c>
      <c r="U74" s="179">
        <f t="shared" si="154"/>
        <v>19</v>
      </c>
      <c r="V74" s="177">
        <f t="shared" si="155"/>
        <v>27</v>
      </c>
      <c r="W74" s="177">
        <f t="shared" si="156"/>
        <v>10</v>
      </c>
      <c r="X74" s="177">
        <f t="shared" si="157"/>
        <v>51</v>
      </c>
      <c r="Y74" s="177">
        <f t="shared" si="158"/>
        <v>86</v>
      </c>
      <c r="Z74" s="177">
        <f t="shared" si="159"/>
        <v>18</v>
      </c>
      <c r="AA74" s="177">
        <f t="shared" si="160"/>
        <v>29</v>
      </c>
      <c r="AB74" s="179">
        <f t="shared" si="161"/>
        <v>22</v>
      </c>
      <c r="AC74" s="177">
        <f t="shared" si="162"/>
        <v>9</v>
      </c>
      <c r="AD74" s="177">
        <f t="shared" si="163"/>
        <v>29</v>
      </c>
      <c r="AE74" s="177">
        <f t="shared" si="164"/>
        <v>56</v>
      </c>
      <c r="AF74" s="177">
        <f t="shared" si="165"/>
        <v>29</v>
      </c>
      <c r="AG74" s="177">
        <f t="shared" si="166"/>
        <v>63</v>
      </c>
      <c r="AH74" s="177">
        <f t="shared" si="167"/>
        <v>98</v>
      </c>
      <c r="AI74" s="177">
        <f t="shared" si="168"/>
        <v>11</v>
      </c>
      <c r="AJ74" s="177">
        <f t="shared" si="169"/>
        <v>6</v>
      </c>
      <c r="AK74" s="179">
        <f t="shared" si="170"/>
        <v>13</v>
      </c>
      <c r="AL74" s="177">
        <f t="shared" si="171"/>
        <v>16</v>
      </c>
      <c r="AM74" s="177">
        <f t="shared" si="172"/>
        <v>27</v>
      </c>
      <c r="AN74" s="177">
        <f t="shared" si="173"/>
        <v>29</v>
      </c>
      <c r="AO74" s="177">
        <f t="shared" si="174"/>
        <v>26</v>
      </c>
      <c r="AP74" s="177">
        <f t="shared" si="174"/>
        <v>24</v>
      </c>
      <c r="AQ74" s="177">
        <f t="shared" si="175"/>
        <v>13</v>
      </c>
      <c r="AR74" s="177">
        <f t="shared" si="176"/>
        <v>22</v>
      </c>
      <c r="AS74" s="178">
        <f t="shared" si="177"/>
        <v>31</v>
      </c>
      <c r="AT74" s="177">
        <v>42</v>
      </c>
      <c r="AU74" s="177">
        <v>20</v>
      </c>
      <c r="AV74" s="177">
        <v>47</v>
      </c>
      <c r="AW74" s="177">
        <v>30</v>
      </c>
      <c r="AX74" s="177">
        <v>95</v>
      </c>
      <c r="AY74" s="177">
        <v>76</v>
      </c>
      <c r="AZ74" s="177">
        <v>10</v>
      </c>
      <c r="BA74" s="177">
        <v>40</v>
      </c>
      <c r="BB74" s="177">
        <v>16</v>
      </c>
      <c r="BC74" s="177">
        <v>19</v>
      </c>
      <c r="BD74" s="177">
        <v>12</v>
      </c>
      <c r="BE74" s="177">
        <v>12</v>
      </c>
      <c r="BF74" s="179">
        <v>46</v>
      </c>
      <c r="BG74" s="177">
        <v>8</v>
      </c>
      <c r="BH74" s="177">
        <v>15</v>
      </c>
      <c r="BI74" s="177">
        <v>36</v>
      </c>
      <c r="BJ74" s="177">
        <v>19</v>
      </c>
      <c r="BK74" s="177">
        <v>28</v>
      </c>
      <c r="BL74" s="177">
        <v>12</v>
      </c>
      <c r="BM74" s="177">
        <v>18</v>
      </c>
      <c r="BN74" s="177">
        <v>46</v>
      </c>
      <c r="BO74" s="177">
        <v>7</v>
      </c>
      <c r="BP74" s="177">
        <v>22</v>
      </c>
      <c r="BQ74" s="177">
        <v>22</v>
      </c>
      <c r="BR74" s="179">
        <v>10</v>
      </c>
      <c r="BS74" s="177">
        <v>9</v>
      </c>
      <c r="BT74" s="177">
        <v>47</v>
      </c>
      <c r="BU74" s="177">
        <v>29</v>
      </c>
      <c r="BV74" s="177">
        <v>63</v>
      </c>
      <c r="BW74" s="177">
        <v>11</v>
      </c>
      <c r="BX74" s="177">
        <v>9</v>
      </c>
      <c r="BY74" s="177">
        <v>6</v>
      </c>
      <c r="BZ74" s="177">
        <v>98</v>
      </c>
      <c r="CA74" s="177">
        <v>29</v>
      </c>
      <c r="CB74" s="179">
        <v>13</v>
      </c>
      <c r="CC74" s="177">
        <v>26</v>
      </c>
      <c r="CD74" s="177">
        <v>24</v>
      </c>
      <c r="CE74" s="177">
        <v>16</v>
      </c>
      <c r="CF74" s="177">
        <v>11</v>
      </c>
      <c r="CG74" s="177">
        <v>20</v>
      </c>
      <c r="CH74" s="177">
        <v>27</v>
      </c>
      <c r="CI74" s="177">
        <v>22</v>
      </c>
      <c r="CJ74" s="177">
        <v>29</v>
      </c>
      <c r="CK74" s="178">
        <v>13</v>
      </c>
      <c r="CL74" s="180">
        <v>1210</v>
      </c>
    </row>
    <row r="75" spans="1:90">
      <c r="A75" s="93">
        <f>ROWS($A$3:A73)</f>
        <v>71</v>
      </c>
      <c r="B75" s="106" t="s">
        <v>92</v>
      </c>
      <c r="C75" s="243"/>
      <c r="D75" s="319" t="s">
        <v>14</v>
      </c>
      <c r="E75" s="320"/>
      <c r="F75" s="156">
        <v>3016</v>
      </c>
      <c r="G75" s="177">
        <v>779</v>
      </c>
      <c r="H75" s="177">
        <v>4390</v>
      </c>
      <c r="I75" s="178">
        <v>1072</v>
      </c>
      <c r="J75" s="181"/>
      <c r="K75" s="156">
        <f t="shared" si="146"/>
        <v>12</v>
      </c>
      <c r="L75" s="177">
        <f t="shared" si="147"/>
        <v>446</v>
      </c>
      <c r="M75" s="177">
        <f t="shared" si="148"/>
        <v>200</v>
      </c>
      <c r="N75" s="177">
        <f t="shared" si="149"/>
        <v>33</v>
      </c>
      <c r="O75" s="177" t="str">
        <f t="shared" si="150"/>
        <v>*</v>
      </c>
      <c r="P75" s="177">
        <f t="shared" si="151"/>
        <v>1287</v>
      </c>
      <c r="Q75" s="177">
        <f>'2010'!AU75</f>
        <v>31</v>
      </c>
      <c r="R75" s="177">
        <f t="shared" si="152"/>
        <v>600</v>
      </c>
      <c r="S75" s="177">
        <f t="shared" si="153"/>
        <v>81</v>
      </c>
      <c r="T75" s="177">
        <f t="shared" si="154"/>
        <v>316</v>
      </c>
      <c r="U75" s="179" t="str">
        <f t="shared" si="154"/>
        <v>*</v>
      </c>
      <c r="V75" s="177">
        <f t="shared" si="155"/>
        <v>334</v>
      </c>
      <c r="W75" s="177" t="str">
        <f t="shared" si="156"/>
        <v>*</v>
      </c>
      <c r="X75" s="177">
        <f t="shared" si="157"/>
        <v>145</v>
      </c>
      <c r="Y75" s="177">
        <f t="shared" si="158"/>
        <v>197</v>
      </c>
      <c r="Z75" s="177">
        <f t="shared" si="159"/>
        <v>32</v>
      </c>
      <c r="AA75" s="177">
        <f t="shared" si="160"/>
        <v>63</v>
      </c>
      <c r="AB75" s="179" t="str">
        <f t="shared" si="161"/>
        <v xml:space="preserve"> -</v>
      </c>
      <c r="AC75" s="177" t="str">
        <f t="shared" si="162"/>
        <v xml:space="preserve"> -</v>
      </c>
      <c r="AD75" s="177">
        <f t="shared" si="163"/>
        <v>602</v>
      </c>
      <c r="AE75" s="177">
        <f t="shared" si="164"/>
        <v>1615</v>
      </c>
      <c r="AF75" s="177">
        <f t="shared" si="165"/>
        <v>249</v>
      </c>
      <c r="AG75" s="177">
        <f t="shared" si="166"/>
        <v>1758</v>
      </c>
      <c r="AH75" s="177">
        <f t="shared" si="167"/>
        <v>116</v>
      </c>
      <c r="AI75" s="177" t="str">
        <f t="shared" si="168"/>
        <v>*</v>
      </c>
      <c r="AJ75" s="177" t="str">
        <f t="shared" si="169"/>
        <v>*</v>
      </c>
      <c r="AK75" s="179">
        <f t="shared" si="170"/>
        <v>43</v>
      </c>
      <c r="AL75" s="177" t="str">
        <f t="shared" si="171"/>
        <v>*</v>
      </c>
      <c r="AM75" s="177">
        <f t="shared" si="172"/>
        <v>6</v>
      </c>
      <c r="AN75" s="177">
        <f t="shared" si="173"/>
        <v>137</v>
      </c>
      <c r="AO75" s="177">
        <f t="shared" si="174"/>
        <v>29</v>
      </c>
      <c r="AP75" s="177">
        <f t="shared" si="174"/>
        <v>13</v>
      </c>
      <c r="AQ75" s="177">
        <f t="shared" si="175"/>
        <v>13</v>
      </c>
      <c r="AR75" s="177">
        <f t="shared" si="176"/>
        <v>859</v>
      </c>
      <c r="AS75" s="178">
        <f t="shared" si="177"/>
        <v>11</v>
      </c>
      <c r="AT75" s="177">
        <v>96</v>
      </c>
      <c r="AU75" s="177">
        <v>31</v>
      </c>
      <c r="AV75" s="177">
        <v>81</v>
      </c>
      <c r="AW75" s="177">
        <v>33</v>
      </c>
      <c r="AX75" s="177">
        <v>504</v>
      </c>
      <c r="AY75" s="177">
        <v>446</v>
      </c>
      <c r="AZ75" s="177">
        <v>97</v>
      </c>
      <c r="BA75" s="177">
        <v>1190</v>
      </c>
      <c r="BB75" s="177">
        <v>316</v>
      </c>
      <c r="BC75" s="177" t="s">
        <v>252</v>
      </c>
      <c r="BD75" s="177">
        <v>200</v>
      </c>
      <c r="BE75" s="177" t="s">
        <v>252</v>
      </c>
      <c r="BF75" s="179">
        <v>12</v>
      </c>
      <c r="BG75" s="177">
        <v>82</v>
      </c>
      <c r="BH75" s="177" t="s">
        <v>252</v>
      </c>
      <c r="BI75" s="177">
        <v>145</v>
      </c>
      <c r="BJ75" s="177">
        <v>252</v>
      </c>
      <c r="BK75" s="177">
        <v>11</v>
      </c>
      <c r="BL75" s="177" t="s">
        <v>301</v>
      </c>
      <c r="BM75" s="177">
        <v>32</v>
      </c>
      <c r="BN75" s="177">
        <v>186</v>
      </c>
      <c r="BO75" s="177" t="s">
        <v>252</v>
      </c>
      <c r="BP75" s="177" t="s">
        <v>301</v>
      </c>
      <c r="BQ75" s="177">
        <v>63</v>
      </c>
      <c r="BR75" s="179" t="s">
        <v>252</v>
      </c>
      <c r="BS75" s="177">
        <v>146</v>
      </c>
      <c r="BT75" s="177">
        <v>1469</v>
      </c>
      <c r="BU75" s="177">
        <v>602</v>
      </c>
      <c r="BV75" s="177">
        <v>1758</v>
      </c>
      <c r="BW75" s="177" t="s">
        <v>252</v>
      </c>
      <c r="BX75" s="177" t="s">
        <v>301</v>
      </c>
      <c r="BY75" s="177" t="s">
        <v>252</v>
      </c>
      <c r="BZ75" s="177">
        <v>116</v>
      </c>
      <c r="CA75" s="177">
        <v>249</v>
      </c>
      <c r="CB75" s="179">
        <v>43</v>
      </c>
      <c r="CC75" s="177">
        <v>29</v>
      </c>
      <c r="CD75" s="177">
        <v>13</v>
      </c>
      <c r="CE75" s="177" t="s">
        <v>252</v>
      </c>
      <c r="CF75" s="177" t="s">
        <v>252</v>
      </c>
      <c r="CG75" s="177">
        <v>11</v>
      </c>
      <c r="CH75" s="177">
        <v>6</v>
      </c>
      <c r="CI75" s="177">
        <v>859</v>
      </c>
      <c r="CJ75" s="177">
        <v>137</v>
      </c>
      <c r="CK75" s="178">
        <v>13</v>
      </c>
      <c r="CL75" s="180">
        <v>9257</v>
      </c>
    </row>
    <row r="76" spans="1:90">
      <c r="A76" s="93">
        <f>ROWS($A$3:A74)</f>
        <v>72</v>
      </c>
      <c r="B76" s="106" t="s">
        <v>93</v>
      </c>
      <c r="C76" s="243"/>
      <c r="D76" s="319" t="s">
        <v>14</v>
      </c>
      <c r="E76" s="320"/>
      <c r="F76" s="156">
        <v>4205</v>
      </c>
      <c r="G76" s="177">
        <v>1272</v>
      </c>
      <c r="H76" s="177">
        <v>5289</v>
      </c>
      <c r="I76" s="178">
        <v>5348</v>
      </c>
      <c r="J76" s="181"/>
      <c r="K76" s="156">
        <f t="shared" si="146"/>
        <v>1123</v>
      </c>
      <c r="L76" s="177">
        <f t="shared" si="147"/>
        <v>428</v>
      </c>
      <c r="M76" s="177">
        <f t="shared" si="148"/>
        <v>179</v>
      </c>
      <c r="N76" s="177">
        <f t="shared" si="149"/>
        <v>491</v>
      </c>
      <c r="O76" s="177">
        <f t="shared" si="150"/>
        <v>233</v>
      </c>
      <c r="P76" s="177">
        <f t="shared" si="151"/>
        <v>125</v>
      </c>
      <c r="Q76" s="177">
        <f>'2010'!AU76</f>
        <v>122</v>
      </c>
      <c r="R76" s="177">
        <f t="shared" si="152"/>
        <v>107</v>
      </c>
      <c r="S76" s="177">
        <f t="shared" si="153"/>
        <v>207</v>
      </c>
      <c r="T76" s="177">
        <f t="shared" si="154"/>
        <v>253</v>
      </c>
      <c r="U76" s="179">
        <f t="shared" si="154"/>
        <v>923</v>
      </c>
      <c r="V76" s="177">
        <f t="shared" si="155"/>
        <v>105</v>
      </c>
      <c r="W76" s="177">
        <f t="shared" si="156"/>
        <v>272</v>
      </c>
      <c r="X76" s="177">
        <f t="shared" si="157"/>
        <v>121</v>
      </c>
      <c r="Y76" s="177">
        <f t="shared" si="158"/>
        <v>179</v>
      </c>
      <c r="Z76" s="177">
        <f t="shared" si="159"/>
        <v>235</v>
      </c>
      <c r="AA76" s="177">
        <f t="shared" si="160"/>
        <v>123</v>
      </c>
      <c r="AB76" s="179">
        <f t="shared" si="161"/>
        <v>237</v>
      </c>
      <c r="AC76" s="177">
        <f t="shared" si="162"/>
        <v>688</v>
      </c>
      <c r="AD76" s="177">
        <f t="shared" si="163"/>
        <v>513</v>
      </c>
      <c r="AE76" s="177">
        <f t="shared" si="164"/>
        <v>870</v>
      </c>
      <c r="AF76" s="177">
        <f t="shared" si="165"/>
        <v>551</v>
      </c>
      <c r="AG76" s="177">
        <f t="shared" si="166"/>
        <v>898</v>
      </c>
      <c r="AH76" s="177">
        <f t="shared" si="167"/>
        <v>322</v>
      </c>
      <c r="AI76" s="177">
        <f t="shared" si="168"/>
        <v>392</v>
      </c>
      <c r="AJ76" s="177">
        <f t="shared" si="169"/>
        <v>225</v>
      </c>
      <c r="AK76" s="179">
        <f t="shared" si="170"/>
        <v>830</v>
      </c>
      <c r="AL76" s="177">
        <f t="shared" si="171"/>
        <v>327</v>
      </c>
      <c r="AM76" s="177">
        <f t="shared" si="172"/>
        <v>1026</v>
      </c>
      <c r="AN76" s="177">
        <f t="shared" si="173"/>
        <v>1983</v>
      </c>
      <c r="AO76" s="177">
        <f t="shared" si="174"/>
        <v>441</v>
      </c>
      <c r="AP76" s="177">
        <f t="shared" si="174"/>
        <v>99</v>
      </c>
      <c r="AQ76" s="177">
        <f t="shared" si="175"/>
        <v>498</v>
      </c>
      <c r="AR76" s="177">
        <f t="shared" si="176"/>
        <v>328</v>
      </c>
      <c r="AS76" s="178">
        <f t="shared" si="177"/>
        <v>646</v>
      </c>
      <c r="AT76" s="177" t="s">
        <v>252</v>
      </c>
      <c r="AU76" s="177">
        <v>122</v>
      </c>
      <c r="AV76" s="177">
        <v>207</v>
      </c>
      <c r="AW76" s="177">
        <v>491</v>
      </c>
      <c r="AX76" s="177">
        <v>107</v>
      </c>
      <c r="AY76" s="177">
        <v>428</v>
      </c>
      <c r="AZ76" s="177" t="s">
        <v>252</v>
      </c>
      <c r="BA76" s="177">
        <v>125</v>
      </c>
      <c r="BB76" s="177">
        <v>253</v>
      </c>
      <c r="BC76" s="177">
        <v>923</v>
      </c>
      <c r="BD76" s="177">
        <v>179</v>
      </c>
      <c r="BE76" s="177">
        <v>233</v>
      </c>
      <c r="BF76" s="179">
        <v>1123</v>
      </c>
      <c r="BG76" s="177">
        <v>15</v>
      </c>
      <c r="BH76" s="177">
        <v>8</v>
      </c>
      <c r="BI76" s="177">
        <v>113</v>
      </c>
      <c r="BJ76" s="177">
        <v>90</v>
      </c>
      <c r="BK76" s="177">
        <v>7</v>
      </c>
      <c r="BL76" s="177">
        <v>5</v>
      </c>
      <c r="BM76" s="177">
        <v>235</v>
      </c>
      <c r="BN76" s="177">
        <v>167</v>
      </c>
      <c r="BO76" s="177">
        <v>7</v>
      </c>
      <c r="BP76" s="177">
        <v>237</v>
      </c>
      <c r="BQ76" s="177">
        <v>116</v>
      </c>
      <c r="BR76" s="179">
        <v>272</v>
      </c>
      <c r="BS76" s="177">
        <v>20</v>
      </c>
      <c r="BT76" s="177">
        <v>850</v>
      </c>
      <c r="BU76" s="177">
        <v>513</v>
      </c>
      <c r="BV76" s="177">
        <v>898</v>
      </c>
      <c r="BW76" s="177">
        <v>392</v>
      </c>
      <c r="BX76" s="177">
        <v>688</v>
      </c>
      <c r="BY76" s="177">
        <v>225</v>
      </c>
      <c r="BZ76" s="177">
        <v>322</v>
      </c>
      <c r="CA76" s="177">
        <v>551</v>
      </c>
      <c r="CB76" s="179">
        <v>830</v>
      </c>
      <c r="CC76" s="177">
        <v>441</v>
      </c>
      <c r="CD76" s="177">
        <v>99</v>
      </c>
      <c r="CE76" s="177">
        <v>327</v>
      </c>
      <c r="CF76" s="177">
        <v>28</v>
      </c>
      <c r="CG76" s="177">
        <v>618</v>
      </c>
      <c r="CH76" s="177">
        <v>1026</v>
      </c>
      <c r="CI76" s="177">
        <v>328</v>
      </c>
      <c r="CJ76" s="177">
        <v>1983</v>
      </c>
      <c r="CK76" s="178">
        <v>498</v>
      </c>
      <c r="CL76" s="180">
        <v>16114</v>
      </c>
    </row>
    <row r="77" spans="1:90">
      <c r="A77" s="93">
        <f>ROWS($A$3:A75)</f>
        <v>73</v>
      </c>
      <c r="B77" s="106" t="s">
        <v>94</v>
      </c>
      <c r="C77" s="243"/>
      <c r="D77" s="319" t="s">
        <v>14</v>
      </c>
      <c r="E77" s="320"/>
      <c r="F77" s="156">
        <v>1140</v>
      </c>
      <c r="G77" s="177">
        <v>76</v>
      </c>
      <c r="H77" s="177">
        <v>119</v>
      </c>
      <c r="I77" s="178">
        <v>662</v>
      </c>
      <c r="J77" s="181"/>
      <c r="K77" s="156">
        <f t="shared" si="146"/>
        <v>123</v>
      </c>
      <c r="L77" s="177">
        <f t="shared" si="147"/>
        <v>22</v>
      </c>
      <c r="M77" s="177">
        <f t="shared" si="148"/>
        <v>132</v>
      </c>
      <c r="N77" s="177">
        <f t="shared" si="149"/>
        <v>21</v>
      </c>
      <c r="O77" s="177">
        <f t="shared" si="150"/>
        <v>46</v>
      </c>
      <c r="P77" s="177">
        <f t="shared" si="151"/>
        <v>29</v>
      </c>
      <c r="Q77" s="177">
        <f>'2010'!AU77</f>
        <v>14</v>
      </c>
      <c r="R77" s="177">
        <f t="shared" si="152"/>
        <v>39</v>
      </c>
      <c r="S77" s="177" t="str">
        <f t="shared" si="153"/>
        <v>*</v>
      </c>
      <c r="T77" s="177">
        <f t="shared" si="154"/>
        <v>168</v>
      </c>
      <c r="U77" s="179">
        <f t="shared" si="154"/>
        <v>538</v>
      </c>
      <c r="V77" s="177">
        <f t="shared" si="155"/>
        <v>0</v>
      </c>
      <c r="W77" s="177">
        <f t="shared" si="156"/>
        <v>10</v>
      </c>
      <c r="X77" s="177">
        <f t="shared" si="157"/>
        <v>0</v>
      </c>
      <c r="Y77" s="177">
        <f t="shared" si="158"/>
        <v>24</v>
      </c>
      <c r="Z77" s="177">
        <f t="shared" si="159"/>
        <v>24</v>
      </c>
      <c r="AA77" s="177">
        <f t="shared" si="160"/>
        <v>6</v>
      </c>
      <c r="AB77" s="179">
        <f t="shared" si="161"/>
        <v>3</v>
      </c>
      <c r="AC77" s="177">
        <f t="shared" si="162"/>
        <v>17</v>
      </c>
      <c r="AD77" s="177">
        <f t="shared" si="163"/>
        <v>6</v>
      </c>
      <c r="AE77" s="177">
        <f t="shared" si="164"/>
        <v>8</v>
      </c>
      <c r="AF77" s="177" t="str">
        <f t="shared" si="165"/>
        <v>*</v>
      </c>
      <c r="AG77" s="177">
        <f t="shared" si="166"/>
        <v>25</v>
      </c>
      <c r="AH77" s="177">
        <f t="shared" si="167"/>
        <v>16</v>
      </c>
      <c r="AI77" s="177">
        <f t="shared" si="168"/>
        <v>21</v>
      </c>
      <c r="AJ77" s="177" t="str">
        <f t="shared" si="169"/>
        <v>*</v>
      </c>
      <c r="AK77" s="179">
        <f t="shared" si="170"/>
        <v>19</v>
      </c>
      <c r="AL77" s="177">
        <f t="shared" si="171"/>
        <v>7</v>
      </c>
      <c r="AM77" s="177">
        <f t="shared" si="172"/>
        <v>156</v>
      </c>
      <c r="AN77" s="177">
        <f t="shared" si="173"/>
        <v>55</v>
      </c>
      <c r="AO77" s="177">
        <f t="shared" si="174"/>
        <v>28</v>
      </c>
      <c r="AP77" s="177">
        <f t="shared" si="174"/>
        <v>7</v>
      </c>
      <c r="AQ77" s="177">
        <f t="shared" si="175"/>
        <v>84</v>
      </c>
      <c r="AR77" s="177">
        <f t="shared" si="176"/>
        <v>13</v>
      </c>
      <c r="AS77" s="178">
        <f t="shared" si="177"/>
        <v>312</v>
      </c>
      <c r="AT77" s="177" t="s">
        <v>301</v>
      </c>
      <c r="AU77" s="177">
        <v>14</v>
      </c>
      <c r="AV77" s="177" t="s">
        <v>252</v>
      </c>
      <c r="AW77" s="177">
        <v>21</v>
      </c>
      <c r="AX77" s="177">
        <v>39</v>
      </c>
      <c r="AY77" s="177">
        <v>22</v>
      </c>
      <c r="AZ77" s="177" t="s">
        <v>252</v>
      </c>
      <c r="BA77" s="177">
        <v>29</v>
      </c>
      <c r="BB77" s="177">
        <v>168</v>
      </c>
      <c r="BC77" s="177">
        <v>538</v>
      </c>
      <c r="BD77" s="177">
        <v>132</v>
      </c>
      <c r="BE77" s="177">
        <v>46</v>
      </c>
      <c r="BF77" s="179">
        <v>123</v>
      </c>
      <c r="BG77" s="177" t="s">
        <v>301</v>
      </c>
      <c r="BH77" s="177" t="s">
        <v>301</v>
      </c>
      <c r="BI77" s="177" t="s">
        <v>252</v>
      </c>
      <c r="BJ77" s="177" t="s">
        <v>252</v>
      </c>
      <c r="BK77" s="177" t="s">
        <v>252</v>
      </c>
      <c r="BL77" s="177" t="s">
        <v>301</v>
      </c>
      <c r="BM77" s="177">
        <v>24</v>
      </c>
      <c r="BN77" s="177">
        <v>24</v>
      </c>
      <c r="BO77" s="177" t="s">
        <v>301</v>
      </c>
      <c r="BP77" s="177">
        <v>3</v>
      </c>
      <c r="BQ77" s="177">
        <v>6</v>
      </c>
      <c r="BR77" s="179">
        <v>10</v>
      </c>
      <c r="BS77" s="177" t="s">
        <v>301</v>
      </c>
      <c r="BT77" s="177">
        <v>8</v>
      </c>
      <c r="BU77" s="177">
        <v>6</v>
      </c>
      <c r="BV77" s="177">
        <v>25</v>
      </c>
      <c r="BW77" s="177">
        <v>21</v>
      </c>
      <c r="BX77" s="177">
        <v>17</v>
      </c>
      <c r="BY77" s="177" t="s">
        <v>252</v>
      </c>
      <c r="BZ77" s="177">
        <v>16</v>
      </c>
      <c r="CA77" s="177" t="s">
        <v>252</v>
      </c>
      <c r="CB77" s="179">
        <v>19</v>
      </c>
      <c r="CC77" s="177">
        <v>28</v>
      </c>
      <c r="CD77" s="177">
        <v>7</v>
      </c>
      <c r="CE77" s="177">
        <v>7</v>
      </c>
      <c r="CF77" s="177">
        <v>17</v>
      </c>
      <c r="CG77" s="177">
        <v>295</v>
      </c>
      <c r="CH77" s="177">
        <v>156</v>
      </c>
      <c r="CI77" s="177">
        <v>13</v>
      </c>
      <c r="CJ77" s="177">
        <v>55</v>
      </c>
      <c r="CK77" s="178">
        <v>84</v>
      </c>
      <c r="CL77" s="180">
        <v>1997</v>
      </c>
    </row>
    <row r="78" spans="1:90">
      <c r="A78" s="93">
        <f>ROWS($A$3:A76)</f>
        <v>74</v>
      </c>
      <c r="B78" s="106" t="s">
        <v>95</v>
      </c>
      <c r="C78" s="243"/>
      <c r="D78" s="319" t="s">
        <v>14</v>
      </c>
      <c r="E78" s="320"/>
      <c r="F78" s="156">
        <v>2637</v>
      </c>
      <c r="G78" s="177">
        <v>932</v>
      </c>
      <c r="H78" s="177">
        <v>1574</v>
      </c>
      <c r="I78" s="178">
        <v>1897</v>
      </c>
      <c r="J78" s="181"/>
      <c r="K78" s="156">
        <f t="shared" si="146"/>
        <v>262</v>
      </c>
      <c r="L78" s="177">
        <f t="shared" si="147"/>
        <v>188</v>
      </c>
      <c r="M78" s="177">
        <f t="shared" si="148"/>
        <v>337</v>
      </c>
      <c r="N78" s="177">
        <f t="shared" si="149"/>
        <v>114</v>
      </c>
      <c r="O78" s="177">
        <f t="shared" si="150"/>
        <v>143</v>
      </c>
      <c r="P78" s="177">
        <f t="shared" si="151"/>
        <v>348</v>
      </c>
      <c r="Q78" s="177">
        <f>'2010'!AU78</f>
        <v>161</v>
      </c>
      <c r="R78" s="177">
        <f t="shared" si="152"/>
        <v>319</v>
      </c>
      <c r="S78" s="177">
        <f t="shared" si="153"/>
        <v>138</v>
      </c>
      <c r="T78" s="177">
        <f t="shared" si="154"/>
        <v>281</v>
      </c>
      <c r="U78" s="179">
        <f t="shared" si="154"/>
        <v>323</v>
      </c>
      <c r="V78" s="177">
        <f t="shared" si="155"/>
        <v>66</v>
      </c>
      <c r="W78" s="177">
        <f t="shared" si="156"/>
        <v>63</v>
      </c>
      <c r="X78" s="177">
        <f t="shared" si="157"/>
        <v>131</v>
      </c>
      <c r="Y78" s="177">
        <f t="shared" si="158"/>
        <v>159</v>
      </c>
      <c r="Z78" s="177">
        <f t="shared" si="159"/>
        <v>236</v>
      </c>
      <c r="AA78" s="177">
        <f t="shared" si="160"/>
        <v>107</v>
      </c>
      <c r="AB78" s="179">
        <f t="shared" si="161"/>
        <v>110</v>
      </c>
      <c r="AC78" s="177">
        <f t="shared" si="162"/>
        <v>127</v>
      </c>
      <c r="AD78" s="177">
        <f t="shared" si="163"/>
        <v>118</v>
      </c>
      <c r="AE78" s="177">
        <f t="shared" si="164"/>
        <v>215</v>
      </c>
      <c r="AF78" s="177">
        <f t="shared" si="165"/>
        <v>141</v>
      </c>
      <c r="AG78" s="177">
        <f t="shared" si="166"/>
        <v>402</v>
      </c>
      <c r="AH78" s="177">
        <f t="shared" si="167"/>
        <v>154</v>
      </c>
      <c r="AI78" s="177">
        <f t="shared" si="168"/>
        <v>171</v>
      </c>
      <c r="AJ78" s="177">
        <f t="shared" si="169"/>
        <v>33</v>
      </c>
      <c r="AK78" s="179">
        <f t="shared" si="170"/>
        <v>139</v>
      </c>
      <c r="AL78" s="177">
        <f t="shared" si="171"/>
        <v>67</v>
      </c>
      <c r="AM78" s="177">
        <f t="shared" si="172"/>
        <v>285</v>
      </c>
      <c r="AN78" s="177">
        <f t="shared" si="173"/>
        <v>166</v>
      </c>
      <c r="AO78" s="177">
        <f t="shared" si="174"/>
        <v>228</v>
      </c>
      <c r="AP78" s="177">
        <f t="shared" si="174"/>
        <v>81</v>
      </c>
      <c r="AQ78" s="177">
        <f t="shared" si="175"/>
        <v>293</v>
      </c>
      <c r="AR78" s="177">
        <f t="shared" si="176"/>
        <v>274</v>
      </c>
      <c r="AS78" s="178">
        <f t="shared" si="177"/>
        <v>482</v>
      </c>
      <c r="AT78" s="177">
        <v>22</v>
      </c>
      <c r="AU78" s="177">
        <v>161</v>
      </c>
      <c r="AV78" s="177">
        <v>138</v>
      </c>
      <c r="AW78" s="177">
        <v>114</v>
      </c>
      <c r="AX78" s="177">
        <v>297</v>
      </c>
      <c r="AY78" s="177">
        <v>188</v>
      </c>
      <c r="AZ78" s="177">
        <v>20</v>
      </c>
      <c r="BA78" s="177">
        <v>328</v>
      </c>
      <c r="BB78" s="177">
        <v>281</v>
      </c>
      <c r="BC78" s="177">
        <v>323</v>
      </c>
      <c r="BD78" s="177">
        <v>337</v>
      </c>
      <c r="BE78" s="177">
        <v>143</v>
      </c>
      <c r="BF78" s="179">
        <v>262</v>
      </c>
      <c r="BG78" s="177" t="s">
        <v>252</v>
      </c>
      <c r="BH78" s="177">
        <v>5</v>
      </c>
      <c r="BI78" s="177">
        <v>126</v>
      </c>
      <c r="BJ78" s="177">
        <v>66</v>
      </c>
      <c r="BK78" s="177">
        <v>6</v>
      </c>
      <c r="BL78" s="177" t="s">
        <v>252</v>
      </c>
      <c r="BM78" s="177">
        <v>236</v>
      </c>
      <c r="BN78" s="177">
        <v>153</v>
      </c>
      <c r="BO78" s="177" t="s">
        <v>252</v>
      </c>
      <c r="BP78" s="177">
        <v>110</v>
      </c>
      <c r="BQ78" s="177">
        <v>107</v>
      </c>
      <c r="BR78" s="179">
        <v>63</v>
      </c>
      <c r="BS78" s="177" t="s">
        <v>252</v>
      </c>
      <c r="BT78" s="177">
        <v>215</v>
      </c>
      <c r="BU78" s="177">
        <v>118</v>
      </c>
      <c r="BV78" s="177">
        <v>402</v>
      </c>
      <c r="BW78" s="177">
        <v>171</v>
      </c>
      <c r="BX78" s="177">
        <v>127</v>
      </c>
      <c r="BY78" s="177">
        <v>33</v>
      </c>
      <c r="BZ78" s="177">
        <v>154</v>
      </c>
      <c r="CA78" s="177">
        <v>141</v>
      </c>
      <c r="CB78" s="179">
        <v>139</v>
      </c>
      <c r="CC78" s="177">
        <v>228</v>
      </c>
      <c r="CD78" s="177">
        <v>81</v>
      </c>
      <c r="CE78" s="177">
        <v>67</v>
      </c>
      <c r="CF78" s="177">
        <v>15</v>
      </c>
      <c r="CG78" s="177">
        <v>467</v>
      </c>
      <c r="CH78" s="177">
        <v>285</v>
      </c>
      <c r="CI78" s="177">
        <v>274</v>
      </c>
      <c r="CJ78" s="177">
        <v>166</v>
      </c>
      <c r="CK78" s="178">
        <v>293</v>
      </c>
      <c r="CL78" s="180">
        <v>7040</v>
      </c>
    </row>
    <row r="79" spans="1:90">
      <c r="A79" s="93">
        <f>ROWS($A$3:A77)</f>
        <v>75</v>
      </c>
      <c r="B79" s="67" t="s">
        <v>84</v>
      </c>
      <c r="C79" s="242">
        <v>2010</v>
      </c>
      <c r="D79" s="319"/>
      <c r="E79" s="320"/>
      <c r="F79" s="156"/>
      <c r="G79" s="177"/>
      <c r="H79" s="177"/>
      <c r="I79" s="178"/>
      <c r="J79" s="181"/>
      <c r="K79" s="156"/>
      <c r="L79" s="177"/>
      <c r="M79" s="177"/>
      <c r="N79" s="177"/>
      <c r="O79" s="177"/>
      <c r="P79" s="177"/>
      <c r="Q79" s="177"/>
      <c r="R79" s="177"/>
      <c r="S79" s="177"/>
      <c r="T79" s="177"/>
      <c r="U79" s="179"/>
      <c r="V79" s="177"/>
      <c r="W79" s="177"/>
      <c r="X79" s="177"/>
      <c r="Y79" s="177"/>
      <c r="Z79" s="177"/>
      <c r="AA79" s="177"/>
      <c r="AB79" s="179"/>
      <c r="AC79" s="177"/>
      <c r="AD79" s="177"/>
      <c r="AE79" s="177"/>
      <c r="AF79" s="177"/>
      <c r="AG79" s="177"/>
      <c r="AH79" s="177"/>
      <c r="AI79" s="177"/>
      <c r="AJ79" s="177"/>
      <c r="AK79" s="179"/>
      <c r="AL79" s="177"/>
      <c r="AM79" s="177"/>
      <c r="AN79" s="177"/>
      <c r="AO79" s="177"/>
      <c r="AP79" s="177"/>
      <c r="AQ79" s="177"/>
      <c r="AR79" s="177"/>
      <c r="AS79" s="178"/>
      <c r="AT79" s="177"/>
      <c r="AU79" s="177"/>
      <c r="AV79" s="177"/>
      <c r="AW79" s="177"/>
      <c r="AX79" s="177"/>
      <c r="AY79" s="177"/>
      <c r="AZ79" s="177"/>
      <c r="BA79" s="177"/>
      <c r="BB79" s="177"/>
      <c r="BC79" s="177"/>
      <c r="BD79" s="177"/>
      <c r="BE79" s="177"/>
      <c r="BF79" s="179"/>
      <c r="BG79" s="177"/>
      <c r="BH79" s="177"/>
      <c r="BI79" s="177"/>
      <c r="BJ79" s="177"/>
      <c r="BK79" s="177"/>
      <c r="BL79" s="177"/>
      <c r="BM79" s="177"/>
      <c r="BN79" s="177"/>
      <c r="BO79" s="177"/>
      <c r="BP79" s="177"/>
      <c r="BQ79" s="177"/>
      <c r="BR79" s="179"/>
      <c r="BS79" s="177"/>
      <c r="BT79" s="177"/>
      <c r="BU79" s="177"/>
      <c r="BV79" s="177"/>
      <c r="BW79" s="177"/>
      <c r="BX79" s="177"/>
      <c r="BY79" s="177"/>
      <c r="BZ79" s="177"/>
      <c r="CA79" s="177"/>
      <c r="CB79" s="179"/>
      <c r="CC79" s="177"/>
      <c r="CD79" s="177"/>
      <c r="CE79" s="177"/>
      <c r="CF79" s="177"/>
      <c r="CG79" s="177"/>
      <c r="CH79" s="177"/>
      <c r="CI79" s="177"/>
      <c r="CJ79" s="177"/>
      <c r="CK79" s="178"/>
      <c r="CL79" s="180"/>
    </row>
    <row r="80" spans="1:90">
      <c r="A80" s="93">
        <f>ROWS($A$3:A78)</f>
        <v>76</v>
      </c>
      <c r="B80" s="106" t="s">
        <v>96</v>
      </c>
      <c r="C80" s="245"/>
      <c r="D80" s="319" t="s">
        <v>14</v>
      </c>
      <c r="E80" s="320"/>
      <c r="F80" s="156">
        <f>SUM(AT80:BF80)</f>
        <v>15783</v>
      </c>
      <c r="G80" s="177">
        <f>SUM(BG80:BR80)</f>
        <v>5519</v>
      </c>
      <c r="H80" s="177">
        <f>SUM(BS80:CB80)</f>
        <v>14234</v>
      </c>
      <c r="I80" s="178">
        <f>SUM(CC80:CK80)</f>
        <v>13613</v>
      </c>
      <c r="J80" s="181"/>
      <c r="K80" s="156">
        <f t="shared" ref="K80:K85" si="178">BF80</f>
        <v>2444</v>
      </c>
      <c r="L80" s="177">
        <f t="shared" ref="L80:L85" si="179">AY80</f>
        <v>1180</v>
      </c>
      <c r="M80" s="177">
        <f t="shared" ref="M80:M85" si="180">BD80</f>
        <v>1850</v>
      </c>
      <c r="N80" s="177">
        <f t="shared" ref="N80:N85" si="181">AW80</f>
        <v>864</v>
      </c>
      <c r="O80" s="177">
        <f t="shared" ref="O80:O85" si="182">BE80</f>
        <v>643</v>
      </c>
      <c r="P80" s="177">
        <f>AZ80+BA80</f>
        <v>2002</v>
      </c>
      <c r="Q80" s="177">
        <f>'2010'!AU80</f>
        <v>689</v>
      </c>
      <c r="R80" s="177">
        <f t="shared" ref="R80:R85" si="183">AT80+AX80</f>
        <v>1275</v>
      </c>
      <c r="S80" s="177">
        <f t="shared" ref="S80:S85" si="184">AV80</f>
        <v>638</v>
      </c>
      <c r="T80" s="177">
        <f t="shared" ref="T80:U85" si="185">BB80</f>
        <v>1533</v>
      </c>
      <c r="U80" s="179">
        <f t="shared" si="185"/>
        <v>2665</v>
      </c>
      <c r="V80" s="177">
        <f t="shared" ref="V80:V85" si="186">BG80+BJ80</f>
        <v>600</v>
      </c>
      <c r="W80" s="177">
        <f t="shared" ref="W80:W85" si="187">BR80</f>
        <v>851</v>
      </c>
      <c r="X80" s="177">
        <f t="shared" ref="X80:X85" si="188">BH80+BI80</f>
        <v>807</v>
      </c>
      <c r="Y80" s="177">
        <f t="shared" ref="Y80:Y85" si="189">BK80+BL80+BN80</f>
        <v>1026</v>
      </c>
      <c r="Z80" s="177">
        <f t="shared" ref="Z80:Z85" si="190">BM80</f>
        <v>1141</v>
      </c>
      <c r="AA80" s="177">
        <f t="shared" ref="AA80:AA85" si="191">BO80+BQ80</f>
        <v>466</v>
      </c>
      <c r="AB80" s="179">
        <f t="shared" ref="AB80:AB85" si="192">BP80</f>
        <v>628</v>
      </c>
      <c r="AC80" s="177">
        <f t="shared" ref="AC80:AC85" si="193">BX80</f>
        <v>1323</v>
      </c>
      <c r="AD80" s="177">
        <f t="shared" ref="AD80:AD85" si="194">BU80</f>
        <v>1339</v>
      </c>
      <c r="AE80" s="177">
        <f t="shared" ref="AE80:AE85" si="195">BS80+BT80</f>
        <v>2418</v>
      </c>
      <c r="AF80" s="177">
        <f t="shared" ref="AF80:AF85" si="196">CA80</f>
        <v>1185</v>
      </c>
      <c r="AG80" s="177">
        <f t="shared" ref="AG80:AG85" si="197">BV80</f>
        <v>3600</v>
      </c>
      <c r="AH80" s="177">
        <f t="shared" ref="AH80:AH85" si="198">BZ80</f>
        <v>1028</v>
      </c>
      <c r="AI80" s="177">
        <f t="shared" ref="AI80:AI85" si="199">BW80</f>
        <v>1098</v>
      </c>
      <c r="AJ80" s="177">
        <f t="shared" ref="AJ80:AJ85" si="200">BY80</f>
        <v>568</v>
      </c>
      <c r="AK80" s="179">
        <f t="shared" ref="AK80:AK85" si="201">CB80</f>
        <v>1675</v>
      </c>
      <c r="AL80" s="177">
        <f t="shared" ref="AL80:AL85" si="202">CE80</f>
        <v>964</v>
      </c>
      <c r="AM80" s="177">
        <f t="shared" ref="AM80:AM85" si="203">CH80</f>
        <v>2229</v>
      </c>
      <c r="AN80" s="177">
        <f t="shared" ref="AN80:AN85" si="204">CJ80</f>
        <v>3184</v>
      </c>
      <c r="AO80" s="177">
        <f t="shared" ref="AO80:AP85" si="205">CC80</f>
        <v>1235</v>
      </c>
      <c r="AP80" s="177">
        <f t="shared" si="205"/>
        <v>484</v>
      </c>
      <c r="AQ80" s="177">
        <f t="shared" ref="AQ80:AQ85" si="206">CK80</f>
        <v>1619</v>
      </c>
      <c r="AR80" s="177">
        <f t="shared" ref="AR80:AR85" si="207">CI80</f>
        <v>1532</v>
      </c>
      <c r="AS80" s="178">
        <f t="shared" ref="AS80:AS85" si="208">CF80+CG80</f>
        <v>2366</v>
      </c>
      <c r="AT80" s="177">
        <v>0</v>
      </c>
      <c r="AU80" s="177">
        <v>689</v>
      </c>
      <c r="AV80" s="177">
        <v>638</v>
      </c>
      <c r="AW80" s="177">
        <v>864</v>
      </c>
      <c r="AX80" s="177">
        <v>1275</v>
      </c>
      <c r="AY80" s="177">
        <v>1180</v>
      </c>
      <c r="AZ80" s="177">
        <v>0</v>
      </c>
      <c r="BA80" s="177">
        <v>2002</v>
      </c>
      <c r="BB80" s="177">
        <v>1533</v>
      </c>
      <c r="BC80" s="177">
        <v>2665</v>
      </c>
      <c r="BD80" s="177">
        <v>1850</v>
      </c>
      <c r="BE80" s="177">
        <v>643</v>
      </c>
      <c r="BF80" s="179">
        <v>2444</v>
      </c>
      <c r="BG80" s="177">
        <v>0</v>
      </c>
      <c r="BH80" s="177">
        <v>0</v>
      </c>
      <c r="BI80" s="177">
        <v>807</v>
      </c>
      <c r="BJ80" s="177">
        <v>600</v>
      </c>
      <c r="BK80" s="177">
        <v>0</v>
      </c>
      <c r="BL80" s="177">
        <v>0</v>
      </c>
      <c r="BM80" s="177">
        <v>1141</v>
      </c>
      <c r="BN80" s="177">
        <v>1026</v>
      </c>
      <c r="BO80" s="177">
        <v>0</v>
      </c>
      <c r="BP80" s="177">
        <v>628</v>
      </c>
      <c r="BQ80" s="177">
        <v>466</v>
      </c>
      <c r="BR80" s="179">
        <v>851</v>
      </c>
      <c r="BS80" s="177">
        <v>0</v>
      </c>
      <c r="BT80" s="177">
        <v>2418</v>
      </c>
      <c r="BU80" s="177">
        <v>1339</v>
      </c>
      <c r="BV80" s="177">
        <v>3600</v>
      </c>
      <c r="BW80" s="177">
        <v>1098</v>
      </c>
      <c r="BX80" s="177">
        <v>1323</v>
      </c>
      <c r="BY80" s="177">
        <v>568</v>
      </c>
      <c r="BZ80" s="177">
        <v>1028</v>
      </c>
      <c r="CA80" s="177">
        <v>1185</v>
      </c>
      <c r="CB80" s="179">
        <v>1675</v>
      </c>
      <c r="CC80" s="177">
        <v>1235</v>
      </c>
      <c r="CD80" s="177">
        <v>484</v>
      </c>
      <c r="CE80" s="177">
        <v>964</v>
      </c>
      <c r="CF80" s="177">
        <v>0</v>
      </c>
      <c r="CG80" s="177">
        <v>2366</v>
      </c>
      <c r="CH80" s="177">
        <v>2229</v>
      </c>
      <c r="CI80" s="177">
        <v>1532</v>
      </c>
      <c r="CJ80" s="177">
        <v>3184</v>
      </c>
      <c r="CK80" s="178">
        <v>1619</v>
      </c>
      <c r="CL80" s="318">
        <v>49149</v>
      </c>
    </row>
    <row r="81" spans="1:90">
      <c r="A81" s="93">
        <f>ROWS($A$3:A79)</f>
        <v>77</v>
      </c>
      <c r="B81" s="106" t="s">
        <v>97</v>
      </c>
      <c r="C81" s="243"/>
      <c r="D81" s="319" t="s">
        <v>14</v>
      </c>
      <c r="E81" s="320"/>
      <c r="F81" s="156">
        <f>SUM(AT81:BF81)</f>
        <v>534477</v>
      </c>
      <c r="G81" s="177">
        <f>SUM(BG81:BR81)</f>
        <v>240206</v>
      </c>
      <c r="H81" s="177">
        <f>SUM(BS81:CB81)</f>
        <v>406607</v>
      </c>
      <c r="I81" s="178">
        <f>SUM(CC81:CK81)</f>
        <v>365115</v>
      </c>
      <c r="J81" s="181"/>
      <c r="K81" s="156">
        <f t="shared" si="178"/>
        <v>57497</v>
      </c>
      <c r="L81" s="177">
        <f t="shared" si="179"/>
        <v>48862</v>
      </c>
      <c r="M81" s="177">
        <f t="shared" si="180"/>
        <v>67681</v>
      </c>
      <c r="N81" s="177">
        <f t="shared" si="181"/>
        <v>30724</v>
      </c>
      <c r="O81" s="177">
        <f t="shared" si="182"/>
        <v>20575</v>
      </c>
      <c r="P81" s="177">
        <f>AZ81+BA81</f>
        <v>71488</v>
      </c>
      <c r="Q81" s="177">
        <f>'2010'!AU81</f>
        <v>36398</v>
      </c>
      <c r="R81" s="177">
        <f t="shared" si="183"/>
        <v>56520</v>
      </c>
      <c r="S81" s="177">
        <f t="shared" si="184"/>
        <v>34689</v>
      </c>
      <c r="T81" s="177">
        <f t="shared" si="185"/>
        <v>39974</v>
      </c>
      <c r="U81" s="179">
        <f t="shared" si="185"/>
        <v>70069</v>
      </c>
      <c r="V81" s="177">
        <f t="shared" si="186"/>
        <v>25480</v>
      </c>
      <c r="W81" s="177">
        <f t="shared" si="187"/>
        <v>25212</v>
      </c>
      <c r="X81" s="177">
        <f t="shared" si="188"/>
        <v>41182</v>
      </c>
      <c r="Y81" s="177">
        <f t="shared" si="189"/>
        <v>40524</v>
      </c>
      <c r="Z81" s="177">
        <f t="shared" si="190"/>
        <v>48421</v>
      </c>
      <c r="AA81" s="177">
        <f t="shared" si="191"/>
        <v>32647</v>
      </c>
      <c r="AB81" s="179">
        <f t="shared" si="192"/>
        <v>26740</v>
      </c>
      <c r="AC81" s="177">
        <f t="shared" si="193"/>
        <v>34670</v>
      </c>
      <c r="AD81" s="177">
        <f t="shared" si="194"/>
        <v>34526</v>
      </c>
      <c r="AE81" s="177">
        <f t="shared" si="195"/>
        <v>63291</v>
      </c>
      <c r="AF81" s="177">
        <f t="shared" si="196"/>
        <v>37661</v>
      </c>
      <c r="AG81" s="177">
        <f t="shared" si="197"/>
        <v>88457</v>
      </c>
      <c r="AH81" s="177">
        <f t="shared" si="198"/>
        <v>36736</v>
      </c>
      <c r="AI81" s="177">
        <f t="shared" si="199"/>
        <v>35164</v>
      </c>
      <c r="AJ81" s="177">
        <f t="shared" si="200"/>
        <v>26136</v>
      </c>
      <c r="AK81" s="179">
        <f t="shared" si="201"/>
        <v>49966</v>
      </c>
      <c r="AL81" s="177">
        <f t="shared" si="202"/>
        <v>39062</v>
      </c>
      <c r="AM81" s="177">
        <f t="shared" si="203"/>
        <v>56160</v>
      </c>
      <c r="AN81" s="177">
        <f t="shared" si="204"/>
        <v>51570</v>
      </c>
      <c r="AO81" s="177">
        <f t="shared" si="205"/>
        <v>47129</v>
      </c>
      <c r="AP81" s="177">
        <f t="shared" si="205"/>
        <v>30352</v>
      </c>
      <c r="AQ81" s="177">
        <f t="shared" si="206"/>
        <v>45401</v>
      </c>
      <c r="AR81" s="177">
        <f t="shared" si="207"/>
        <v>32483</v>
      </c>
      <c r="AS81" s="178">
        <f t="shared" si="208"/>
        <v>62958</v>
      </c>
      <c r="AT81" s="177">
        <v>0</v>
      </c>
      <c r="AU81" s="177">
        <v>36398</v>
      </c>
      <c r="AV81" s="177">
        <v>34689</v>
      </c>
      <c r="AW81" s="177">
        <v>30724</v>
      </c>
      <c r="AX81" s="177">
        <v>56520</v>
      </c>
      <c r="AY81" s="177">
        <v>48862</v>
      </c>
      <c r="AZ81" s="177">
        <v>0</v>
      </c>
      <c r="BA81" s="177">
        <v>71488</v>
      </c>
      <c r="BB81" s="177">
        <v>39974</v>
      </c>
      <c r="BC81" s="177">
        <v>70069</v>
      </c>
      <c r="BD81" s="177">
        <v>67681</v>
      </c>
      <c r="BE81" s="177">
        <v>20575</v>
      </c>
      <c r="BF81" s="179">
        <v>57497</v>
      </c>
      <c r="BG81" s="177">
        <v>0</v>
      </c>
      <c r="BH81" s="177">
        <v>0</v>
      </c>
      <c r="BI81" s="177">
        <v>41182</v>
      </c>
      <c r="BJ81" s="177">
        <v>25480</v>
      </c>
      <c r="BK81" s="177">
        <v>0</v>
      </c>
      <c r="BL81" s="177">
        <v>0</v>
      </c>
      <c r="BM81" s="177">
        <v>48421</v>
      </c>
      <c r="BN81" s="177">
        <v>40524</v>
      </c>
      <c r="BO81" s="177">
        <v>0</v>
      </c>
      <c r="BP81" s="177">
        <v>26740</v>
      </c>
      <c r="BQ81" s="177">
        <v>32647</v>
      </c>
      <c r="BR81" s="179">
        <v>25212</v>
      </c>
      <c r="BS81" s="177">
        <v>0</v>
      </c>
      <c r="BT81" s="177">
        <v>63291</v>
      </c>
      <c r="BU81" s="177">
        <v>34526</v>
      </c>
      <c r="BV81" s="177">
        <v>88457</v>
      </c>
      <c r="BW81" s="177">
        <v>35164</v>
      </c>
      <c r="BX81" s="177">
        <v>34670</v>
      </c>
      <c r="BY81" s="177">
        <v>26136</v>
      </c>
      <c r="BZ81" s="177">
        <v>36736</v>
      </c>
      <c r="CA81" s="177">
        <v>37661</v>
      </c>
      <c r="CB81" s="179">
        <v>49966</v>
      </c>
      <c r="CC81" s="177">
        <v>47129</v>
      </c>
      <c r="CD81" s="177">
        <v>30352</v>
      </c>
      <c r="CE81" s="177">
        <v>39062</v>
      </c>
      <c r="CF81" s="177">
        <v>0</v>
      </c>
      <c r="CG81" s="177">
        <v>62958</v>
      </c>
      <c r="CH81" s="177">
        <v>56160</v>
      </c>
      <c r="CI81" s="177">
        <v>32483</v>
      </c>
      <c r="CJ81" s="177">
        <v>51570</v>
      </c>
      <c r="CK81" s="178">
        <v>45401</v>
      </c>
      <c r="CL81" s="318">
        <v>1546405</v>
      </c>
    </row>
    <row r="82" spans="1:90">
      <c r="A82" s="93">
        <f>ROWS($A$3:A80)</f>
        <v>78</v>
      </c>
      <c r="B82" s="62" t="s">
        <v>98</v>
      </c>
      <c r="C82" s="312"/>
      <c r="D82" s="319" t="s">
        <v>14</v>
      </c>
      <c r="E82" s="320"/>
      <c r="F82" s="182">
        <f>IF(OR(F80&lt;0.1,F81&lt;0.1),0,F81/F80)</f>
        <v>33.86409427865425</v>
      </c>
      <c r="G82" s="183">
        <f>IF(OR(G80&lt;0.1,G81&lt;0.1),0,G81/G80)</f>
        <v>43.523464395723863</v>
      </c>
      <c r="H82" s="183">
        <f>IF(OR(H80&lt;0.1,H81&lt;0.1),0,H81/H80)</f>
        <v>28.565898552760995</v>
      </c>
      <c r="I82" s="184">
        <f>IF(OR(I80&lt;0.1,I81&lt;0.1),0,I81/I80)</f>
        <v>26.821053404833616</v>
      </c>
      <c r="J82" s="181"/>
      <c r="K82" s="185">
        <f t="shared" si="178"/>
        <v>23.525777414075286</v>
      </c>
      <c r="L82" s="186">
        <f t="shared" si="179"/>
        <v>41.408474576271189</v>
      </c>
      <c r="M82" s="186">
        <f t="shared" si="180"/>
        <v>36.584324324324321</v>
      </c>
      <c r="N82" s="186">
        <f t="shared" si="181"/>
        <v>35.560185185185183</v>
      </c>
      <c r="O82" s="186">
        <f t="shared" si="182"/>
        <v>31.998444790046655</v>
      </c>
      <c r="P82" s="183">
        <f>P81/P80</f>
        <v>35.708291708291711</v>
      </c>
      <c r="Q82" s="186">
        <f>'2010'!AU82</f>
        <v>52.827285921625545</v>
      </c>
      <c r="R82" s="186">
        <f t="shared" si="183"/>
        <v>44.329411764705881</v>
      </c>
      <c r="S82" s="186">
        <f t="shared" si="184"/>
        <v>54.371473354231973</v>
      </c>
      <c r="T82" s="186">
        <f t="shared" si="185"/>
        <v>26.075668623613829</v>
      </c>
      <c r="U82" s="187">
        <f t="shared" si="185"/>
        <v>26.292307692307691</v>
      </c>
      <c r="V82" s="186">
        <f t="shared" si="186"/>
        <v>42.466666666666669</v>
      </c>
      <c r="W82" s="186">
        <f t="shared" si="187"/>
        <v>29.626321974148063</v>
      </c>
      <c r="X82" s="186">
        <f t="shared" si="188"/>
        <v>51.030978934324658</v>
      </c>
      <c r="Y82" s="186">
        <f t="shared" si="189"/>
        <v>39.497076023391813</v>
      </c>
      <c r="Z82" s="186">
        <f t="shared" si="190"/>
        <v>42.437335670464506</v>
      </c>
      <c r="AA82" s="186">
        <f t="shared" si="191"/>
        <v>70.057939914163086</v>
      </c>
      <c r="AB82" s="187">
        <f t="shared" si="192"/>
        <v>42.579617834394902</v>
      </c>
      <c r="AC82" s="186">
        <f t="shared" si="193"/>
        <v>26.205593348450492</v>
      </c>
      <c r="AD82" s="186">
        <f t="shared" si="194"/>
        <v>25.784914115011201</v>
      </c>
      <c r="AE82" s="186">
        <f t="shared" si="195"/>
        <v>26.174937965260547</v>
      </c>
      <c r="AF82" s="186">
        <f t="shared" si="196"/>
        <v>31.781434599156118</v>
      </c>
      <c r="AG82" s="186">
        <f t="shared" si="197"/>
        <v>24.57138888888889</v>
      </c>
      <c r="AH82" s="186">
        <f t="shared" si="198"/>
        <v>35.735408560311285</v>
      </c>
      <c r="AI82" s="186">
        <f t="shared" si="199"/>
        <v>32.025500910746814</v>
      </c>
      <c r="AJ82" s="186">
        <f t="shared" si="200"/>
        <v>46.014084507042256</v>
      </c>
      <c r="AK82" s="187">
        <f t="shared" si="201"/>
        <v>29.83044776119403</v>
      </c>
      <c r="AL82" s="186">
        <f t="shared" si="202"/>
        <v>40.520746887966808</v>
      </c>
      <c r="AM82" s="186">
        <f t="shared" si="203"/>
        <v>25.195154777927321</v>
      </c>
      <c r="AN82" s="186">
        <f t="shared" si="204"/>
        <v>16.196608040201006</v>
      </c>
      <c r="AO82" s="186">
        <f t="shared" si="205"/>
        <v>38.161133603238866</v>
      </c>
      <c r="AP82" s="186">
        <f t="shared" si="205"/>
        <v>62.710743801652896</v>
      </c>
      <c r="AQ82" s="186">
        <f t="shared" si="206"/>
        <v>28.042618900555897</v>
      </c>
      <c r="AR82" s="186">
        <f t="shared" si="207"/>
        <v>21.203002610966056</v>
      </c>
      <c r="AS82" s="190">
        <f t="shared" si="208"/>
        <v>26.609467455621303</v>
      </c>
      <c r="AT82" s="186">
        <v>0</v>
      </c>
      <c r="AU82" s="183">
        <f t="shared" ref="AU82:CL82" si="209">IF(OR(AU80&lt;0.1,AU81&lt;0.1),0,AU81/AU80)</f>
        <v>52.827285921625545</v>
      </c>
      <c r="AV82" s="183">
        <f t="shared" si="209"/>
        <v>54.371473354231973</v>
      </c>
      <c r="AW82" s="183">
        <f t="shared" si="209"/>
        <v>35.560185185185183</v>
      </c>
      <c r="AX82" s="183">
        <f t="shared" si="209"/>
        <v>44.329411764705881</v>
      </c>
      <c r="AY82" s="183">
        <f t="shared" si="209"/>
        <v>41.408474576271189</v>
      </c>
      <c r="AZ82" s="183">
        <f t="shared" si="209"/>
        <v>0</v>
      </c>
      <c r="BA82" s="183">
        <f t="shared" si="209"/>
        <v>35.708291708291711</v>
      </c>
      <c r="BB82" s="183">
        <f t="shared" si="209"/>
        <v>26.075668623613829</v>
      </c>
      <c r="BC82" s="183">
        <f t="shared" si="209"/>
        <v>26.292307692307691</v>
      </c>
      <c r="BD82" s="183">
        <f t="shared" si="209"/>
        <v>36.584324324324321</v>
      </c>
      <c r="BE82" s="183">
        <f t="shared" si="209"/>
        <v>31.998444790046655</v>
      </c>
      <c r="BF82" s="188">
        <f t="shared" si="209"/>
        <v>23.525777414075286</v>
      </c>
      <c r="BG82" s="183">
        <f t="shared" si="209"/>
        <v>0</v>
      </c>
      <c r="BH82" s="183">
        <f t="shared" si="209"/>
        <v>0</v>
      </c>
      <c r="BI82" s="183">
        <f t="shared" si="209"/>
        <v>51.030978934324658</v>
      </c>
      <c r="BJ82" s="183">
        <f t="shared" si="209"/>
        <v>42.466666666666669</v>
      </c>
      <c r="BK82" s="183">
        <f t="shared" si="209"/>
        <v>0</v>
      </c>
      <c r="BL82" s="183">
        <f t="shared" si="209"/>
        <v>0</v>
      </c>
      <c r="BM82" s="183">
        <f t="shared" si="209"/>
        <v>42.437335670464506</v>
      </c>
      <c r="BN82" s="183">
        <f t="shared" si="209"/>
        <v>39.497076023391813</v>
      </c>
      <c r="BO82" s="183">
        <f t="shared" si="209"/>
        <v>0</v>
      </c>
      <c r="BP82" s="183">
        <f t="shared" si="209"/>
        <v>42.579617834394902</v>
      </c>
      <c r="BQ82" s="183">
        <f t="shared" si="209"/>
        <v>70.057939914163086</v>
      </c>
      <c r="BR82" s="188">
        <f t="shared" si="209"/>
        <v>29.626321974148063</v>
      </c>
      <c r="BS82" s="183">
        <f t="shared" si="209"/>
        <v>0</v>
      </c>
      <c r="BT82" s="183">
        <f t="shared" si="209"/>
        <v>26.174937965260547</v>
      </c>
      <c r="BU82" s="183">
        <f t="shared" si="209"/>
        <v>25.784914115011201</v>
      </c>
      <c r="BV82" s="183">
        <f t="shared" si="209"/>
        <v>24.57138888888889</v>
      </c>
      <c r="BW82" s="183">
        <f t="shared" si="209"/>
        <v>32.025500910746814</v>
      </c>
      <c r="BX82" s="183">
        <f t="shared" si="209"/>
        <v>26.205593348450492</v>
      </c>
      <c r="BY82" s="183">
        <f t="shared" si="209"/>
        <v>46.014084507042256</v>
      </c>
      <c r="BZ82" s="183">
        <f t="shared" si="209"/>
        <v>35.735408560311285</v>
      </c>
      <c r="CA82" s="183">
        <f t="shared" si="209"/>
        <v>31.781434599156118</v>
      </c>
      <c r="CB82" s="188">
        <f t="shared" si="209"/>
        <v>29.83044776119403</v>
      </c>
      <c r="CC82" s="183">
        <f t="shared" si="209"/>
        <v>38.161133603238866</v>
      </c>
      <c r="CD82" s="183">
        <f t="shared" si="209"/>
        <v>62.710743801652896</v>
      </c>
      <c r="CE82" s="183">
        <f t="shared" si="209"/>
        <v>40.520746887966808</v>
      </c>
      <c r="CF82" s="183">
        <f t="shared" si="209"/>
        <v>0</v>
      </c>
      <c r="CG82" s="183">
        <f t="shared" si="209"/>
        <v>26.609467455621303</v>
      </c>
      <c r="CH82" s="183">
        <f t="shared" si="209"/>
        <v>25.195154777927321</v>
      </c>
      <c r="CI82" s="183">
        <f t="shared" si="209"/>
        <v>21.203002610966056</v>
      </c>
      <c r="CJ82" s="183">
        <f t="shared" si="209"/>
        <v>16.196608040201006</v>
      </c>
      <c r="CK82" s="184">
        <f t="shared" si="209"/>
        <v>28.042618900555897</v>
      </c>
      <c r="CL82" s="189">
        <f t="shared" si="209"/>
        <v>31.463610653319499</v>
      </c>
    </row>
    <row r="83" spans="1:90">
      <c r="A83" s="93">
        <f>ROWS($A$3:A81)</f>
        <v>79</v>
      </c>
      <c r="B83" s="106" t="s">
        <v>99</v>
      </c>
      <c r="C83" s="243"/>
      <c r="D83" s="319" t="s">
        <v>1</v>
      </c>
      <c r="E83" s="320"/>
      <c r="F83" s="157">
        <v>1.39</v>
      </c>
      <c r="G83" s="158">
        <v>1.2</v>
      </c>
      <c r="H83" s="158">
        <v>1.1100000000000001</v>
      </c>
      <c r="I83" s="159">
        <v>1.54</v>
      </c>
      <c r="J83" s="162"/>
      <c r="K83" s="157">
        <f t="shared" si="178"/>
        <v>1.68</v>
      </c>
      <c r="L83" s="158">
        <f t="shared" si="179"/>
        <v>0.81</v>
      </c>
      <c r="M83" s="158">
        <f t="shared" si="180"/>
        <v>1.78</v>
      </c>
      <c r="N83" s="158">
        <f t="shared" si="181"/>
        <v>1.25</v>
      </c>
      <c r="O83" s="158">
        <f t="shared" si="182"/>
        <v>1.68</v>
      </c>
      <c r="P83" s="158">
        <f>AZ83+BA83</f>
        <v>1.4</v>
      </c>
      <c r="Q83" s="158">
        <f>'2010'!AU83</f>
        <v>0.75</v>
      </c>
      <c r="R83" s="158">
        <f t="shared" si="183"/>
        <v>0.89</v>
      </c>
      <c r="S83" s="158">
        <f t="shared" si="184"/>
        <v>0.61</v>
      </c>
      <c r="T83" s="158">
        <f t="shared" si="185"/>
        <v>2.14</v>
      </c>
      <c r="U83" s="160">
        <f t="shared" si="185"/>
        <v>2.12</v>
      </c>
      <c r="V83" s="158">
        <f t="shared" si="186"/>
        <v>0.85</v>
      </c>
      <c r="W83" s="158">
        <f t="shared" si="187"/>
        <v>0.96</v>
      </c>
      <c r="X83" s="158">
        <f t="shared" si="188"/>
        <v>1.23</v>
      </c>
      <c r="Y83" s="158">
        <f t="shared" si="189"/>
        <v>1.58</v>
      </c>
      <c r="Z83" s="158">
        <f t="shared" si="190"/>
        <v>1.54</v>
      </c>
      <c r="AA83" s="158">
        <f t="shared" si="191"/>
        <v>0.8</v>
      </c>
      <c r="AB83" s="160">
        <f t="shared" si="192"/>
        <v>0.76</v>
      </c>
      <c r="AC83" s="158">
        <f t="shared" si="193"/>
        <v>1.56</v>
      </c>
      <c r="AD83" s="158">
        <f t="shared" si="194"/>
        <v>0.83</v>
      </c>
      <c r="AE83" s="158">
        <f t="shared" si="195"/>
        <v>1.2</v>
      </c>
      <c r="AF83" s="158">
        <f t="shared" si="196"/>
        <v>0.98</v>
      </c>
      <c r="AG83" s="158">
        <f t="shared" si="197"/>
        <v>0.83</v>
      </c>
      <c r="AH83" s="158">
        <f t="shared" si="198"/>
        <v>1.35</v>
      </c>
      <c r="AI83" s="158">
        <f t="shared" si="199"/>
        <v>1.1599999999999999</v>
      </c>
      <c r="AJ83" s="158">
        <f t="shared" si="200"/>
        <v>1.1499999999999999</v>
      </c>
      <c r="AK83" s="160">
        <f t="shared" si="201"/>
        <v>1.39</v>
      </c>
      <c r="AL83" s="158">
        <f t="shared" si="202"/>
        <v>0.99</v>
      </c>
      <c r="AM83" s="158">
        <f t="shared" si="203"/>
        <v>1.87</v>
      </c>
      <c r="AN83" s="158">
        <f t="shared" si="204"/>
        <v>2.14</v>
      </c>
      <c r="AO83" s="158">
        <f t="shared" si="205"/>
        <v>1.06</v>
      </c>
      <c r="AP83" s="158">
        <f t="shared" si="205"/>
        <v>0.81</v>
      </c>
      <c r="AQ83" s="158">
        <f t="shared" si="206"/>
        <v>1.67</v>
      </c>
      <c r="AR83" s="158">
        <f t="shared" si="207"/>
        <v>1.59</v>
      </c>
      <c r="AS83" s="159">
        <f t="shared" si="208"/>
        <v>1.78</v>
      </c>
      <c r="AT83" s="158">
        <v>0</v>
      </c>
      <c r="AU83" s="158">
        <v>0.75</v>
      </c>
      <c r="AV83" s="158">
        <v>0.61</v>
      </c>
      <c r="AW83" s="158">
        <v>1.25</v>
      </c>
      <c r="AX83" s="158">
        <v>0.89</v>
      </c>
      <c r="AY83" s="158">
        <v>0.81</v>
      </c>
      <c r="AZ83" s="158">
        <v>0</v>
      </c>
      <c r="BA83" s="158">
        <v>1.4</v>
      </c>
      <c r="BB83" s="158">
        <v>2.14</v>
      </c>
      <c r="BC83" s="158">
        <v>2.12</v>
      </c>
      <c r="BD83" s="158">
        <v>1.78</v>
      </c>
      <c r="BE83" s="158">
        <v>1.68</v>
      </c>
      <c r="BF83" s="160">
        <v>1.68</v>
      </c>
      <c r="BG83" s="158">
        <v>0</v>
      </c>
      <c r="BH83" s="158">
        <v>0</v>
      </c>
      <c r="BI83" s="158">
        <v>1.23</v>
      </c>
      <c r="BJ83" s="158">
        <v>0.85</v>
      </c>
      <c r="BK83" s="158">
        <v>0</v>
      </c>
      <c r="BL83" s="158">
        <v>0</v>
      </c>
      <c r="BM83" s="158">
        <v>1.54</v>
      </c>
      <c r="BN83" s="158">
        <v>1.58</v>
      </c>
      <c r="BO83" s="158">
        <v>0</v>
      </c>
      <c r="BP83" s="158">
        <v>0.76</v>
      </c>
      <c r="BQ83" s="158">
        <v>0.8</v>
      </c>
      <c r="BR83" s="160">
        <v>0.96</v>
      </c>
      <c r="BS83" s="158">
        <v>0</v>
      </c>
      <c r="BT83" s="158">
        <v>1.2</v>
      </c>
      <c r="BU83" s="158">
        <v>0.83</v>
      </c>
      <c r="BV83" s="158">
        <v>0.83</v>
      </c>
      <c r="BW83" s="158">
        <v>1.1599999999999999</v>
      </c>
      <c r="BX83" s="158">
        <v>1.56</v>
      </c>
      <c r="BY83" s="158">
        <v>1.1499999999999999</v>
      </c>
      <c r="BZ83" s="158">
        <v>1.35</v>
      </c>
      <c r="CA83" s="158">
        <v>0.98</v>
      </c>
      <c r="CB83" s="160">
        <v>1.39</v>
      </c>
      <c r="CC83" s="158">
        <v>1.06</v>
      </c>
      <c r="CD83" s="158">
        <v>0.81</v>
      </c>
      <c r="CE83" s="158">
        <v>0.99</v>
      </c>
      <c r="CF83" s="158">
        <v>0</v>
      </c>
      <c r="CG83" s="158">
        <v>1.78</v>
      </c>
      <c r="CH83" s="158">
        <v>1.87</v>
      </c>
      <c r="CI83" s="158">
        <v>1.59</v>
      </c>
      <c r="CJ83" s="158">
        <v>2.14</v>
      </c>
      <c r="CK83" s="159">
        <v>1.67</v>
      </c>
      <c r="CL83" s="161">
        <v>1.33</v>
      </c>
    </row>
    <row r="84" spans="1:90">
      <c r="A84" s="93">
        <f>ROWS($A$3:A82)</f>
        <v>80</v>
      </c>
      <c r="B84" s="106" t="s">
        <v>100</v>
      </c>
      <c r="C84" s="243"/>
      <c r="D84" s="319" t="s">
        <v>1</v>
      </c>
      <c r="E84" s="320"/>
      <c r="F84" s="157">
        <v>0.78</v>
      </c>
      <c r="G84" s="158">
        <v>0.68</v>
      </c>
      <c r="H84" s="158">
        <v>1.06</v>
      </c>
      <c r="I84" s="159">
        <v>1.24</v>
      </c>
      <c r="J84" s="162"/>
      <c r="K84" s="157">
        <f t="shared" si="178"/>
        <v>1.18</v>
      </c>
      <c r="L84" s="158">
        <f t="shared" si="179"/>
        <v>0.65</v>
      </c>
      <c r="M84" s="158">
        <f t="shared" si="180"/>
        <v>0.56999999999999995</v>
      </c>
      <c r="N84" s="158">
        <f t="shared" si="181"/>
        <v>0.94</v>
      </c>
      <c r="O84" s="158">
        <f t="shared" si="182"/>
        <v>1.1100000000000001</v>
      </c>
      <c r="P84" s="158">
        <f>AZ84+BA84</f>
        <v>0.56999999999999995</v>
      </c>
      <c r="Q84" s="158">
        <f>'2010'!AU84</f>
        <v>0.52</v>
      </c>
      <c r="R84" s="158">
        <f t="shared" si="183"/>
        <v>0.41</v>
      </c>
      <c r="S84" s="158">
        <f t="shared" si="184"/>
        <v>0.63</v>
      </c>
      <c r="T84" s="158">
        <f t="shared" si="185"/>
        <v>0.7</v>
      </c>
      <c r="U84" s="160">
        <f t="shared" si="185"/>
        <v>0.98</v>
      </c>
      <c r="V84" s="158">
        <f t="shared" si="186"/>
        <v>0.64</v>
      </c>
      <c r="W84" s="158">
        <f t="shared" si="187"/>
        <v>0.94</v>
      </c>
      <c r="X84" s="158">
        <f t="shared" si="188"/>
        <v>0.65</v>
      </c>
      <c r="Y84" s="158">
        <f t="shared" si="189"/>
        <v>0.8</v>
      </c>
      <c r="Z84" s="158">
        <f t="shared" si="190"/>
        <v>0.64</v>
      </c>
      <c r="AA84" s="158">
        <f t="shared" si="191"/>
        <v>0.51</v>
      </c>
      <c r="AB84" s="160">
        <f t="shared" si="192"/>
        <v>0.7</v>
      </c>
      <c r="AC84" s="158">
        <f t="shared" si="193"/>
        <v>1.41</v>
      </c>
      <c r="AD84" s="158">
        <f t="shared" si="194"/>
        <v>1.02</v>
      </c>
      <c r="AE84" s="158">
        <f t="shared" si="195"/>
        <v>1.43</v>
      </c>
      <c r="AF84" s="158">
        <f t="shared" si="196"/>
        <v>0.9</v>
      </c>
      <c r="AG84" s="158">
        <f t="shared" si="197"/>
        <v>0.96</v>
      </c>
      <c r="AH84" s="158">
        <f t="shared" si="198"/>
        <v>0.93</v>
      </c>
      <c r="AI84" s="158">
        <f t="shared" si="199"/>
        <v>0.93</v>
      </c>
      <c r="AJ84" s="158">
        <f t="shared" si="200"/>
        <v>0.97</v>
      </c>
      <c r="AK84" s="160">
        <f t="shared" si="201"/>
        <v>0.99</v>
      </c>
      <c r="AL84" s="158">
        <f t="shared" si="202"/>
        <v>0.95</v>
      </c>
      <c r="AM84" s="158">
        <f t="shared" si="203"/>
        <v>1.34</v>
      </c>
      <c r="AN84" s="158">
        <f t="shared" si="204"/>
        <v>2.2200000000000002</v>
      </c>
      <c r="AO84" s="158">
        <f t="shared" si="205"/>
        <v>1</v>
      </c>
      <c r="AP84" s="158">
        <f t="shared" si="205"/>
        <v>0.55000000000000004</v>
      </c>
      <c r="AQ84" s="158">
        <f t="shared" si="206"/>
        <v>1.07</v>
      </c>
      <c r="AR84" s="158">
        <f t="shared" si="207"/>
        <v>1.19</v>
      </c>
      <c r="AS84" s="159">
        <f t="shared" si="208"/>
        <v>1</v>
      </c>
      <c r="AT84" s="158">
        <v>0</v>
      </c>
      <c r="AU84" s="158">
        <v>0.52</v>
      </c>
      <c r="AV84" s="158">
        <v>0.63</v>
      </c>
      <c r="AW84" s="158">
        <v>0.94</v>
      </c>
      <c r="AX84" s="158">
        <v>0.41</v>
      </c>
      <c r="AY84" s="158">
        <v>0.65</v>
      </c>
      <c r="AZ84" s="158">
        <v>0</v>
      </c>
      <c r="BA84" s="158">
        <v>0.56999999999999995</v>
      </c>
      <c r="BB84" s="158">
        <v>0.7</v>
      </c>
      <c r="BC84" s="158">
        <v>0.98</v>
      </c>
      <c r="BD84" s="158">
        <v>0.56999999999999995</v>
      </c>
      <c r="BE84" s="158">
        <v>1.1100000000000001</v>
      </c>
      <c r="BF84" s="160">
        <v>1.18</v>
      </c>
      <c r="BG84" s="158">
        <v>0</v>
      </c>
      <c r="BH84" s="158">
        <v>0</v>
      </c>
      <c r="BI84" s="158">
        <v>0.65</v>
      </c>
      <c r="BJ84" s="158">
        <v>0.64</v>
      </c>
      <c r="BK84" s="158">
        <v>0</v>
      </c>
      <c r="BL84" s="158">
        <v>0</v>
      </c>
      <c r="BM84" s="158">
        <v>0.64</v>
      </c>
      <c r="BN84" s="158">
        <v>0.8</v>
      </c>
      <c r="BO84" s="158">
        <v>0</v>
      </c>
      <c r="BP84" s="158">
        <v>0.7</v>
      </c>
      <c r="BQ84" s="158">
        <v>0.51</v>
      </c>
      <c r="BR84" s="160">
        <v>0.94</v>
      </c>
      <c r="BS84" s="158">
        <v>0</v>
      </c>
      <c r="BT84" s="158">
        <v>1.43</v>
      </c>
      <c r="BU84" s="158">
        <v>1.02</v>
      </c>
      <c r="BV84" s="158">
        <v>0.96</v>
      </c>
      <c r="BW84" s="158">
        <v>0.93</v>
      </c>
      <c r="BX84" s="158">
        <v>1.41</v>
      </c>
      <c r="BY84" s="158">
        <v>0.97</v>
      </c>
      <c r="BZ84" s="158">
        <v>0.93</v>
      </c>
      <c r="CA84" s="158">
        <v>0.9</v>
      </c>
      <c r="CB84" s="160">
        <v>0.99</v>
      </c>
      <c r="CC84" s="158">
        <v>1</v>
      </c>
      <c r="CD84" s="158">
        <v>0.55000000000000004</v>
      </c>
      <c r="CE84" s="158">
        <v>0.95</v>
      </c>
      <c r="CF84" s="158">
        <v>0</v>
      </c>
      <c r="CG84" s="158">
        <v>1</v>
      </c>
      <c r="CH84" s="158">
        <v>1.34</v>
      </c>
      <c r="CI84" s="158">
        <v>1.19</v>
      </c>
      <c r="CJ84" s="158">
        <v>2.2200000000000002</v>
      </c>
      <c r="CK84" s="159">
        <v>1.07</v>
      </c>
      <c r="CL84" s="161">
        <v>0.96</v>
      </c>
    </row>
    <row r="85" spans="1:90">
      <c r="A85" s="93">
        <f>ROWS($A$3:A83)</f>
        <v>81</v>
      </c>
      <c r="B85" s="106" t="s">
        <v>101</v>
      </c>
      <c r="C85" s="243"/>
      <c r="D85" s="319" t="s">
        <v>1</v>
      </c>
      <c r="E85" s="320"/>
      <c r="F85" s="157">
        <v>0.28999999999999998</v>
      </c>
      <c r="G85" s="158">
        <v>0.3</v>
      </c>
      <c r="H85" s="158">
        <v>0.34</v>
      </c>
      <c r="I85" s="159">
        <v>1.02</v>
      </c>
      <c r="J85" s="162"/>
      <c r="K85" s="157">
        <f t="shared" si="178"/>
        <v>1.72</v>
      </c>
      <c r="L85" s="158">
        <f t="shared" si="179"/>
        <v>0.23</v>
      </c>
      <c r="M85" s="158">
        <f t="shared" si="180"/>
        <v>0.32</v>
      </c>
      <c r="N85" s="158">
        <f t="shared" si="181"/>
        <v>0.47</v>
      </c>
      <c r="O85" s="158">
        <f t="shared" si="182"/>
        <v>0.72</v>
      </c>
      <c r="P85" s="158">
        <f>AZ85+BA85</f>
        <v>0.28999999999999998</v>
      </c>
      <c r="Q85" s="158">
        <f>'2010'!AU85</f>
        <v>0.25</v>
      </c>
      <c r="R85" s="158">
        <f t="shared" si="183"/>
        <v>0.26</v>
      </c>
      <c r="S85" s="158">
        <f t="shared" si="184"/>
        <v>0.2</v>
      </c>
      <c r="T85" s="158">
        <f t="shared" si="185"/>
        <v>0.44</v>
      </c>
      <c r="U85" s="160">
        <f t="shared" si="185"/>
        <v>0.37</v>
      </c>
      <c r="V85" s="158">
        <f t="shared" si="186"/>
        <v>0.28000000000000003</v>
      </c>
      <c r="W85" s="158">
        <f t="shared" si="187"/>
        <v>0.32</v>
      </c>
      <c r="X85" s="158">
        <f t="shared" si="188"/>
        <v>0.25</v>
      </c>
      <c r="Y85" s="158">
        <f t="shared" si="189"/>
        <v>0.33</v>
      </c>
      <c r="Z85" s="158">
        <f t="shared" si="190"/>
        <v>0.61</v>
      </c>
      <c r="AA85" s="158">
        <f t="shared" si="191"/>
        <v>0.23</v>
      </c>
      <c r="AB85" s="160">
        <f t="shared" si="192"/>
        <v>0.26</v>
      </c>
      <c r="AC85" s="158">
        <f t="shared" si="193"/>
        <v>0.5</v>
      </c>
      <c r="AD85" s="158">
        <f t="shared" si="194"/>
        <v>0.28000000000000003</v>
      </c>
      <c r="AE85" s="158">
        <f t="shared" si="195"/>
        <v>0.35</v>
      </c>
      <c r="AF85" s="158">
        <f t="shared" si="196"/>
        <v>0.24</v>
      </c>
      <c r="AG85" s="158">
        <f t="shared" si="197"/>
        <v>0.35</v>
      </c>
      <c r="AH85" s="158">
        <f t="shared" si="198"/>
        <v>0.79</v>
      </c>
      <c r="AI85" s="158">
        <f t="shared" si="199"/>
        <v>0.47</v>
      </c>
      <c r="AJ85" s="158">
        <f t="shared" si="200"/>
        <v>0.35</v>
      </c>
      <c r="AK85" s="160">
        <f t="shared" si="201"/>
        <v>0.57999999999999996</v>
      </c>
      <c r="AL85" s="158">
        <f t="shared" si="202"/>
        <v>0.53</v>
      </c>
      <c r="AM85" s="158">
        <f t="shared" si="203"/>
        <v>1.0900000000000001</v>
      </c>
      <c r="AN85" s="158">
        <f t="shared" si="204"/>
        <v>1.87</v>
      </c>
      <c r="AO85" s="158">
        <f t="shared" si="205"/>
        <v>0.32</v>
      </c>
      <c r="AP85" s="158">
        <f t="shared" si="205"/>
        <v>0.16</v>
      </c>
      <c r="AQ85" s="158">
        <f t="shared" si="206"/>
        <v>0.82</v>
      </c>
      <c r="AR85" s="158">
        <f t="shared" si="207"/>
        <v>1.0900000000000001</v>
      </c>
      <c r="AS85" s="159">
        <f t="shared" si="208"/>
        <v>0.51</v>
      </c>
      <c r="AT85" s="158">
        <v>0</v>
      </c>
      <c r="AU85" s="158">
        <v>0.25</v>
      </c>
      <c r="AV85" s="158">
        <v>0.2</v>
      </c>
      <c r="AW85" s="158">
        <v>0.47</v>
      </c>
      <c r="AX85" s="158">
        <v>0.26</v>
      </c>
      <c r="AY85" s="158">
        <v>0.23</v>
      </c>
      <c r="AZ85" s="158">
        <v>0</v>
      </c>
      <c r="BA85" s="158">
        <v>0.28999999999999998</v>
      </c>
      <c r="BB85" s="158">
        <v>0.44</v>
      </c>
      <c r="BC85" s="158">
        <v>0.37</v>
      </c>
      <c r="BD85" s="158">
        <v>0.32</v>
      </c>
      <c r="BE85" s="158">
        <v>0.72</v>
      </c>
      <c r="BF85" s="160">
        <v>1.72</v>
      </c>
      <c r="BG85" s="158">
        <v>0</v>
      </c>
      <c r="BH85" s="158">
        <v>0</v>
      </c>
      <c r="BI85" s="158">
        <v>0.25</v>
      </c>
      <c r="BJ85" s="158">
        <v>0.28000000000000003</v>
      </c>
      <c r="BK85" s="158">
        <v>0</v>
      </c>
      <c r="BL85" s="158">
        <v>0</v>
      </c>
      <c r="BM85" s="158">
        <v>0.61</v>
      </c>
      <c r="BN85" s="158">
        <v>0.33</v>
      </c>
      <c r="BO85" s="158">
        <v>0</v>
      </c>
      <c r="BP85" s="158">
        <v>0.26</v>
      </c>
      <c r="BQ85" s="158">
        <v>0.23</v>
      </c>
      <c r="BR85" s="160">
        <v>0.32</v>
      </c>
      <c r="BS85" s="158">
        <v>0</v>
      </c>
      <c r="BT85" s="158">
        <v>0.35</v>
      </c>
      <c r="BU85" s="158">
        <v>0.28000000000000003</v>
      </c>
      <c r="BV85" s="158">
        <v>0.35</v>
      </c>
      <c r="BW85" s="158">
        <v>0.47</v>
      </c>
      <c r="BX85" s="158">
        <v>0.5</v>
      </c>
      <c r="BY85" s="158">
        <v>0.35</v>
      </c>
      <c r="BZ85" s="158">
        <v>0.79</v>
      </c>
      <c r="CA85" s="158">
        <v>0.24</v>
      </c>
      <c r="CB85" s="160">
        <v>0.57999999999999996</v>
      </c>
      <c r="CC85" s="158">
        <v>0.32</v>
      </c>
      <c r="CD85" s="158">
        <v>0.16</v>
      </c>
      <c r="CE85" s="158">
        <v>0.53</v>
      </c>
      <c r="CF85" s="158">
        <v>0</v>
      </c>
      <c r="CG85" s="158">
        <v>0.51</v>
      </c>
      <c r="CH85" s="158">
        <v>1.0900000000000001</v>
      </c>
      <c r="CI85" s="158">
        <v>1.0900000000000001</v>
      </c>
      <c r="CJ85" s="158">
        <v>1.87</v>
      </c>
      <c r="CK85" s="159">
        <v>0.82</v>
      </c>
      <c r="CL85" s="161">
        <v>0.36</v>
      </c>
    </row>
    <row r="86" spans="1:90">
      <c r="A86" s="93">
        <f>ROWS($A$3:A84)</f>
        <v>82</v>
      </c>
      <c r="B86" s="67" t="s">
        <v>202</v>
      </c>
      <c r="C86" s="242">
        <v>2010</v>
      </c>
      <c r="D86" s="319"/>
      <c r="E86" s="320"/>
      <c r="F86" s="156"/>
      <c r="G86" s="177"/>
      <c r="H86" s="177"/>
      <c r="I86" s="178"/>
      <c r="J86" s="181"/>
      <c r="K86" s="156"/>
      <c r="L86" s="177"/>
      <c r="M86" s="177"/>
      <c r="N86" s="177"/>
      <c r="O86" s="177"/>
      <c r="P86" s="177"/>
      <c r="Q86" s="177"/>
      <c r="R86" s="177"/>
      <c r="S86" s="177"/>
      <c r="T86" s="177"/>
      <c r="U86" s="179"/>
      <c r="V86" s="177"/>
      <c r="W86" s="177"/>
      <c r="X86" s="177"/>
      <c r="Y86" s="177"/>
      <c r="Z86" s="177"/>
      <c r="AA86" s="177"/>
      <c r="AB86" s="179"/>
      <c r="AC86" s="177"/>
      <c r="AD86" s="177"/>
      <c r="AE86" s="177"/>
      <c r="AF86" s="177"/>
      <c r="AG86" s="177"/>
      <c r="AH86" s="177"/>
      <c r="AI86" s="177"/>
      <c r="AJ86" s="177"/>
      <c r="AK86" s="179"/>
      <c r="AL86" s="177"/>
      <c r="AM86" s="177"/>
      <c r="AN86" s="177"/>
      <c r="AO86" s="177"/>
      <c r="AP86" s="177"/>
      <c r="AQ86" s="177"/>
      <c r="AR86" s="177"/>
      <c r="AS86" s="178"/>
      <c r="AT86" s="177"/>
      <c r="AU86" s="177"/>
      <c r="AV86" s="177"/>
      <c r="AW86" s="177"/>
      <c r="AX86" s="177"/>
      <c r="AY86" s="177"/>
      <c r="AZ86" s="177"/>
      <c r="BA86" s="177"/>
      <c r="BB86" s="177"/>
      <c r="BC86" s="177"/>
      <c r="BD86" s="177"/>
      <c r="BE86" s="177"/>
      <c r="BF86" s="179"/>
      <c r="BG86" s="177"/>
      <c r="BH86" s="177"/>
      <c r="BI86" s="177"/>
      <c r="BJ86" s="177"/>
      <c r="BK86" s="177"/>
      <c r="BL86" s="177"/>
      <c r="BM86" s="177"/>
      <c r="BN86" s="177"/>
      <c r="BO86" s="177"/>
      <c r="BP86" s="177"/>
      <c r="BQ86" s="177"/>
      <c r="BR86" s="179"/>
      <c r="BS86" s="177"/>
      <c r="BT86" s="177"/>
      <c r="BU86" s="177"/>
      <c r="BV86" s="177"/>
      <c r="BW86" s="177"/>
      <c r="BX86" s="177"/>
      <c r="BY86" s="177"/>
      <c r="BZ86" s="177"/>
      <c r="CA86" s="177"/>
      <c r="CB86" s="179"/>
      <c r="CC86" s="177"/>
      <c r="CD86" s="177"/>
      <c r="CE86" s="177"/>
      <c r="CF86" s="177"/>
      <c r="CG86" s="177"/>
      <c r="CH86" s="177"/>
      <c r="CI86" s="177"/>
      <c r="CJ86" s="177"/>
      <c r="CK86" s="178"/>
      <c r="CL86" s="180"/>
    </row>
    <row r="87" spans="1:90">
      <c r="A87" s="93">
        <f>ROWS($A$3:A85)</f>
        <v>83</v>
      </c>
      <c r="B87" s="62" t="s">
        <v>200</v>
      </c>
      <c r="C87" s="330"/>
      <c r="D87" s="319" t="s">
        <v>201</v>
      </c>
      <c r="E87" s="322">
        <v>40799</v>
      </c>
      <c r="F87" s="191">
        <v>22061</v>
      </c>
      <c r="G87" s="191">
        <v>19776</v>
      </c>
      <c r="H87" s="191">
        <v>16478</v>
      </c>
      <c r="I87" s="192">
        <v>19015</v>
      </c>
      <c r="J87" s="347"/>
      <c r="K87" s="156">
        <f>BF87</f>
        <v>16760</v>
      </c>
      <c r="L87" s="177">
        <f>AY87</f>
        <v>27913</v>
      </c>
      <c r="M87" s="177">
        <f>BD87</f>
        <v>12456</v>
      </c>
      <c r="N87" s="177">
        <f>AW87</f>
        <v>23220</v>
      </c>
      <c r="O87" s="177">
        <f>BE87</f>
        <v>18454</v>
      </c>
      <c r="P87" s="183">
        <f>(AZ100*AZ87+BA100*BA87)/(AZ100+BA100)</f>
        <v>23575.906735751294</v>
      </c>
      <c r="Q87" s="177">
        <f>'2008'!AU87</f>
        <v>31866</v>
      </c>
      <c r="R87" s="183">
        <f>(AT100*AT87+AX100*AX87)/(AT100+AX100)</f>
        <v>37148.700729927004</v>
      </c>
      <c r="S87" s="177">
        <f>AV87</f>
        <v>39942</v>
      </c>
      <c r="T87" s="177">
        <f>BB87</f>
        <v>20865</v>
      </c>
      <c r="U87" s="179">
        <f>BC87</f>
        <v>18138</v>
      </c>
      <c r="V87" s="183">
        <f>(BG100*BG87+BJ100*BJ87)/(BG100+BJ100)</f>
        <v>24308.57894736842</v>
      </c>
      <c r="W87" s="177">
        <f>BR87</f>
        <v>12760</v>
      </c>
      <c r="X87" s="183">
        <f>(BH100*BH87+BI100*BI87)/(BH100+BI100)</f>
        <v>25116.597938144329</v>
      </c>
      <c r="Y87" s="183">
        <f>(BK100*BK87+BL100*BL87+BN100*BN87)/(BK100+BL100+BN100)</f>
        <v>51924.457142857143</v>
      </c>
      <c r="Z87" s="177">
        <f>BM87</f>
        <v>10503</v>
      </c>
      <c r="AA87" s="183">
        <f>(BO100*BO87+BQ100*BQ87)/(BO100+BQ100)</f>
        <v>23103.448275862069</v>
      </c>
      <c r="AB87" s="179">
        <f>BP87</f>
        <v>15089</v>
      </c>
      <c r="AC87" s="177">
        <f>BX87</f>
        <v>12836</v>
      </c>
      <c r="AD87" s="177">
        <f>BU87</f>
        <v>24270</v>
      </c>
      <c r="AE87" s="183">
        <f>(BS100*BS87+BT100*BT87)/(BS100+BT100)</f>
        <v>22458.105263157893</v>
      </c>
      <c r="AF87" s="177">
        <f>CA87</f>
        <v>15602</v>
      </c>
      <c r="AG87" s="177">
        <f>BV87</f>
        <v>19245</v>
      </c>
      <c r="AH87" s="177">
        <f>BZ87</f>
        <v>13697</v>
      </c>
      <c r="AI87" s="177">
        <f>BW87</f>
        <v>11390</v>
      </c>
      <c r="AJ87" s="177">
        <f>BY87</f>
        <v>8671</v>
      </c>
      <c r="AK87" s="179">
        <f>CB87</f>
        <v>12821</v>
      </c>
      <c r="AL87" s="177">
        <f>CE87</f>
        <v>11626</v>
      </c>
      <c r="AM87" s="177">
        <f>CH87</f>
        <v>20346</v>
      </c>
      <c r="AN87" s="177">
        <f>CJ87</f>
        <v>18348</v>
      </c>
      <c r="AO87" s="177">
        <f>CC87</f>
        <v>12939</v>
      </c>
      <c r="AP87" s="177">
        <f>CD87</f>
        <v>24711</v>
      </c>
      <c r="AQ87" s="177">
        <f>CK87</f>
        <v>13546</v>
      </c>
      <c r="AR87" s="177">
        <f>CI87</f>
        <v>24200</v>
      </c>
      <c r="AS87" s="184">
        <f>(CF100*CF87+CG100*CG87)/(CF100+CG100)</f>
        <v>25587.030888030888</v>
      </c>
      <c r="AT87" s="177">
        <v>97817</v>
      </c>
      <c r="AU87" s="191">
        <v>36761</v>
      </c>
      <c r="AV87" s="191">
        <v>39942</v>
      </c>
      <c r="AW87" s="191">
        <v>23220</v>
      </c>
      <c r="AX87" s="191">
        <v>34370</v>
      </c>
      <c r="AY87" s="191">
        <v>27913</v>
      </c>
      <c r="AZ87" s="191">
        <v>41030</v>
      </c>
      <c r="BA87" s="191">
        <v>21670</v>
      </c>
      <c r="BB87" s="191">
        <v>20865</v>
      </c>
      <c r="BC87" s="191">
        <v>18138</v>
      </c>
      <c r="BD87" s="191">
        <v>12456</v>
      </c>
      <c r="BE87" s="191">
        <v>18454</v>
      </c>
      <c r="BF87" s="193">
        <v>16760</v>
      </c>
      <c r="BG87" s="191">
        <v>14093</v>
      </c>
      <c r="BH87" s="191">
        <v>37685</v>
      </c>
      <c r="BI87" s="191">
        <v>24852</v>
      </c>
      <c r="BJ87" s="191">
        <v>26224</v>
      </c>
      <c r="BK87" s="191">
        <v>119670</v>
      </c>
      <c r="BL87" s="191">
        <v>0</v>
      </c>
      <c r="BM87" s="191">
        <v>10503</v>
      </c>
      <c r="BN87" s="191">
        <v>39262</v>
      </c>
      <c r="BO87" s="191">
        <v>65816</v>
      </c>
      <c r="BP87" s="191">
        <v>15089</v>
      </c>
      <c r="BQ87" s="191">
        <v>21578</v>
      </c>
      <c r="BR87" s="193">
        <v>12760</v>
      </c>
      <c r="BS87" s="191">
        <v>28718</v>
      </c>
      <c r="BT87" s="191">
        <v>21803</v>
      </c>
      <c r="BU87" s="191">
        <v>24270</v>
      </c>
      <c r="BV87" s="191">
        <v>19245</v>
      </c>
      <c r="BW87" s="191">
        <v>11390</v>
      </c>
      <c r="BX87" s="191">
        <v>12836</v>
      </c>
      <c r="BY87" s="191">
        <v>8671</v>
      </c>
      <c r="BZ87" s="191">
        <v>13697</v>
      </c>
      <c r="CA87" s="191">
        <v>15602</v>
      </c>
      <c r="CB87" s="193">
        <v>12821</v>
      </c>
      <c r="CC87" s="191">
        <v>12939</v>
      </c>
      <c r="CD87" s="191">
        <v>24711</v>
      </c>
      <c r="CE87" s="191">
        <v>11626</v>
      </c>
      <c r="CF87" s="191">
        <v>48178</v>
      </c>
      <c r="CG87" s="191">
        <v>24867</v>
      </c>
      <c r="CH87" s="191">
        <v>20346</v>
      </c>
      <c r="CI87" s="191">
        <v>24200</v>
      </c>
      <c r="CJ87" s="191">
        <v>18348</v>
      </c>
      <c r="CK87" s="191">
        <v>13546</v>
      </c>
      <c r="CL87" s="180">
        <v>19823</v>
      </c>
    </row>
    <row r="88" spans="1:90">
      <c r="A88" s="93">
        <f>ROWS($A$3:A86)</f>
        <v>84</v>
      </c>
      <c r="B88" s="67" t="s">
        <v>203</v>
      </c>
      <c r="C88" s="242">
        <v>2010</v>
      </c>
      <c r="D88" s="319"/>
      <c r="E88" s="320"/>
      <c r="F88" s="156"/>
      <c r="G88" s="177"/>
      <c r="H88" s="177"/>
      <c r="I88" s="178"/>
      <c r="J88" s="181"/>
      <c r="K88" s="156"/>
      <c r="L88" s="177"/>
      <c r="M88" s="177"/>
      <c r="N88" s="177"/>
      <c r="O88" s="177"/>
      <c r="P88" s="177"/>
      <c r="Q88" s="177"/>
      <c r="R88" s="177"/>
      <c r="S88" s="177"/>
      <c r="T88" s="177"/>
      <c r="U88" s="179"/>
      <c r="V88" s="177"/>
      <c r="W88" s="177"/>
      <c r="X88" s="177"/>
      <c r="Y88" s="177"/>
      <c r="Z88" s="177"/>
      <c r="AA88" s="177"/>
      <c r="AB88" s="179"/>
      <c r="AC88" s="177"/>
      <c r="AD88" s="177"/>
      <c r="AE88" s="177"/>
      <c r="AF88" s="177"/>
      <c r="AG88" s="177"/>
      <c r="AH88" s="177"/>
      <c r="AI88" s="177"/>
      <c r="AJ88" s="177"/>
      <c r="AK88" s="179"/>
      <c r="AL88" s="177"/>
      <c r="AM88" s="177"/>
      <c r="AN88" s="177"/>
      <c r="AO88" s="177"/>
      <c r="AP88" s="177"/>
      <c r="AQ88" s="177"/>
      <c r="AR88" s="177"/>
      <c r="AS88" s="178"/>
      <c r="AT88" s="177"/>
      <c r="AU88" s="177"/>
      <c r="AV88" s="177"/>
      <c r="AW88" s="177"/>
      <c r="AX88" s="177"/>
      <c r="AY88" s="177"/>
      <c r="AZ88" s="177"/>
      <c r="BA88" s="177"/>
      <c r="BB88" s="177"/>
      <c r="BC88" s="177"/>
      <c r="BD88" s="177"/>
      <c r="BE88" s="177"/>
      <c r="BF88" s="179"/>
      <c r="BG88" s="177"/>
      <c r="BH88" s="177"/>
      <c r="BI88" s="177"/>
      <c r="BJ88" s="177"/>
      <c r="BK88" s="177"/>
      <c r="BL88" s="177"/>
      <c r="BM88" s="177"/>
      <c r="BN88" s="177"/>
      <c r="BO88" s="177"/>
      <c r="BP88" s="177"/>
      <c r="BQ88" s="177"/>
      <c r="BR88" s="179"/>
      <c r="BS88" s="177"/>
      <c r="BT88" s="177"/>
      <c r="BU88" s="177"/>
      <c r="BV88" s="177"/>
      <c r="BW88" s="177"/>
      <c r="BX88" s="177"/>
      <c r="BY88" s="177"/>
      <c r="BZ88" s="177"/>
      <c r="CA88" s="177"/>
      <c r="CB88" s="179"/>
      <c r="CC88" s="177"/>
      <c r="CD88" s="177"/>
      <c r="CE88" s="177"/>
      <c r="CF88" s="177"/>
      <c r="CG88" s="177"/>
      <c r="CH88" s="177"/>
      <c r="CI88" s="177"/>
      <c r="CJ88" s="177"/>
      <c r="CK88" s="178"/>
      <c r="CL88" s="180"/>
    </row>
    <row r="89" spans="1:90">
      <c r="A89" s="93">
        <f>ROWS($A$3:A87)</f>
        <v>85</v>
      </c>
      <c r="B89" s="106" t="s">
        <v>204</v>
      </c>
      <c r="C89" s="245"/>
      <c r="D89" s="319" t="s">
        <v>205</v>
      </c>
      <c r="E89" s="322">
        <v>40648</v>
      </c>
      <c r="F89" s="210">
        <v>65.3</v>
      </c>
      <c r="G89" s="213">
        <v>61.9</v>
      </c>
      <c r="H89" s="213">
        <v>62.6</v>
      </c>
      <c r="I89" s="214">
        <v>63.5</v>
      </c>
      <c r="J89" s="213"/>
      <c r="K89" s="210">
        <f>BF89</f>
        <v>60.9</v>
      </c>
      <c r="L89" s="211">
        <f>AY89</f>
        <v>59.6</v>
      </c>
      <c r="M89" s="211">
        <f>BD89</f>
        <v>62.4</v>
      </c>
      <c r="N89" s="211">
        <f>AW89</f>
        <v>62.6</v>
      </c>
      <c r="O89" s="211">
        <f>BE89</f>
        <v>59.6</v>
      </c>
      <c r="P89" s="211">
        <f>BA89</f>
        <v>70.400000000000006</v>
      </c>
      <c r="Q89" s="211">
        <f>'2010'!AU89</f>
        <v>67.2</v>
      </c>
      <c r="R89" s="211">
        <f>AX89</f>
        <v>70.3</v>
      </c>
      <c r="S89" s="211">
        <f>AV89</f>
        <v>63.7</v>
      </c>
      <c r="T89" s="211">
        <f t="shared" ref="T89:U93" si="210">BB89</f>
        <v>65.7</v>
      </c>
      <c r="U89" s="212">
        <f t="shared" si="210"/>
        <v>68.3</v>
      </c>
      <c r="V89" s="211">
        <f>BJ89</f>
        <v>60.8</v>
      </c>
      <c r="W89" s="211">
        <f>BR89</f>
        <v>62.9</v>
      </c>
      <c r="X89" s="211">
        <f>BI89</f>
        <v>60.9</v>
      </c>
      <c r="Y89" s="211">
        <f>BN89</f>
        <v>66.7</v>
      </c>
      <c r="Z89" s="211">
        <f>BM89</f>
        <v>59.4</v>
      </c>
      <c r="AA89" s="211">
        <f>BQ89</f>
        <v>61.8</v>
      </c>
      <c r="AB89" s="212">
        <f>BP89</f>
        <v>59.1</v>
      </c>
      <c r="AC89" s="211">
        <f>BX89</f>
        <v>70</v>
      </c>
      <c r="AD89" s="211">
        <f>BU89</f>
        <v>54</v>
      </c>
      <c r="AE89" s="211">
        <f>BT89</f>
        <v>59.8</v>
      </c>
      <c r="AF89" s="211">
        <f>CA89</f>
        <v>60.7</v>
      </c>
      <c r="AG89" s="211">
        <f>BV89</f>
        <v>66.599999999999994</v>
      </c>
      <c r="AH89" s="211">
        <f>BZ89</f>
        <v>62.7</v>
      </c>
      <c r="AI89" s="211">
        <f>BW89</f>
        <v>63</v>
      </c>
      <c r="AJ89" s="211">
        <f>BY89</f>
        <v>56.9</v>
      </c>
      <c r="AK89" s="212">
        <f>CB89</f>
        <v>58.1</v>
      </c>
      <c r="AL89" s="211">
        <f>CE89</f>
        <v>57.4</v>
      </c>
      <c r="AM89" s="211">
        <f>CH89</f>
        <v>67.2</v>
      </c>
      <c r="AN89" s="211">
        <f>CJ89</f>
        <v>64.3</v>
      </c>
      <c r="AO89" s="211">
        <f t="shared" ref="AO89:AP93" si="211">CC89</f>
        <v>56.9</v>
      </c>
      <c r="AP89" s="211">
        <f t="shared" si="211"/>
        <v>60.2</v>
      </c>
      <c r="AQ89" s="211">
        <f>CK89</f>
        <v>62.1</v>
      </c>
      <c r="AR89" s="211">
        <f>CI89</f>
        <v>64.599999999999994</v>
      </c>
      <c r="AS89" s="214">
        <f>CG89</f>
        <v>64.7</v>
      </c>
      <c r="AT89" s="211" t="s">
        <v>61</v>
      </c>
      <c r="AU89" s="213">
        <v>67.2</v>
      </c>
      <c r="AV89" s="213">
        <v>63.7</v>
      </c>
      <c r="AW89" s="213">
        <v>62.6</v>
      </c>
      <c r="AX89" s="213">
        <v>70.3</v>
      </c>
      <c r="AY89" s="213">
        <v>59.6</v>
      </c>
      <c r="AZ89" s="211" t="s">
        <v>61</v>
      </c>
      <c r="BA89" s="213">
        <v>70.400000000000006</v>
      </c>
      <c r="BB89" s="213">
        <v>65.7</v>
      </c>
      <c r="BC89" s="213">
        <v>68.3</v>
      </c>
      <c r="BD89" s="213">
        <v>62.4</v>
      </c>
      <c r="BE89" s="213">
        <v>59.6</v>
      </c>
      <c r="BF89" s="212">
        <v>60.9</v>
      </c>
      <c r="BG89" s="211" t="s">
        <v>61</v>
      </c>
      <c r="BH89" s="211" t="s">
        <v>61</v>
      </c>
      <c r="BI89" s="213">
        <v>60.9</v>
      </c>
      <c r="BJ89" s="213">
        <v>60.8</v>
      </c>
      <c r="BK89" s="211" t="s">
        <v>61</v>
      </c>
      <c r="BL89" s="213" t="s">
        <v>61</v>
      </c>
      <c r="BM89" s="213">
        <v>59.4</v>
      </c>
      <c r="BN89" s="213">
        <v>66.7</v>
      </c>
      <c r="BO89" s="211" t="s">
        <v>61</v>
      </c>
      <c r="BP89" s="213">
        <v>59.1</v>
      </c>
      <c r="BQ89" s="213">
        <v>61.8</v>
      </c>
      <c r="BR89" s="212">
        <v>62.9</v>
      </c>
      <c r="BS89" s="211" t="s">
        <v>61</v>
      </c>
      <c r="BT89" s="213">
        <v>59.8</v>
      </c>
      <c r="BU89" s="213">
        <v>54</v>
      </c>
      <c r="BV89" s="213">
        <v>66.599999999999994</v>
      </c>
      <c r="BW89" s="213">
        <v>63</v>
      </c>
      <c r="BX89" s="213">
        <v>70</v>
      </c>
      <c r="BY89" s="213">
        <v>56.9</v>
      </c>
      <c r="BZ89" s="213">
        <v>62.7</v>
      </c>
      <c r="CA89" s="213">
        <v>60.7</v>
      </c>
      <c r="CB89" s="212">
        <v>58.1</v>
      </c>
      <c r="CC89" s="213">
        <v>56.9</v>
      </c>
      <c r="CD89" s="213">
        <v>60.2</v>
      </c>
      <c r="CE89" s="213">
        <v>57.4</v>
      </c>
      <c r="CF89" s="211" t="s">
        <v>61</v>
      </c>
      <c r="CG89" s="213">
        <v>64.7</v>
      </c>
      <c r="CH89" s="213">
        <v>67.2</v>
      </c>
      <c r="CI89" s="213">
        <v>64.599999999999994</v>
      </c>
      <c r="CJ89" s="213">
        <v>64.3</v>
      </c>
      <c r="CK89" s="214">
        <v>62.1</v>
      </c>
      <c r="CL89" s="215">
        <v>63.9</v>
      </c>
    </row>
    <row r="90" spans="1:90">
      <c r="A90" s="93">
        <f>ROWS($A$3:A88)</f>
        <v>86</v>
      </c>
      <c r="B90" s="106" t="s">
        <v>206</v>
      </c>
      <c r="C90" s="243"/>
      <c r="D90" s="319" t="s">
        <v>205</v>
      </c>
      <c r="E90" s="322">
        <v>40648</v>
      </c>
      <c r="F90" s="210">
        <v>700.6</v>
      </c>
      <c r="G90" s="213">
        <v>648.29999999999995</v>
      </c>
      <c r="H90" s="213">
        <v>629.70000000000005</v>
      </c>
      <c r="I90" s="214">
        <v>701.5</v>
      </c>
      <c r="J90" s="213"/>
      <c r="K90" s="210" t="str">
        <f>BF90</f>
        <v>-</v>
      </c>
      <c r="L90" s="211">
        <f>AY90</f>
        <v>656.9</v>
      </c>
      <c r="M90" s="211">
        <f>BD90</f>
        <v>633.6</v>
      </c>
      <c r="N90" s="211" t="str">
        <f>AW90</f>
        <v>-</v>
      </c>
      <c r="O90" s="211" t="str">
        <f>BE90</f>
        <v>-</v>
      </c>
      <c r="P90" s="211">
        <f>BA90</f>
        <v>723.3</v>
      </c>
      <c r="Q90" s="211">
        <f>'2010'!AU90</f>
        <v>745</v>
      </c>
      <c r="R90" s="211">
        <f>AX90</f>
        <v>701.7</v>
      </c>
      <c r="S90" s="211" t="str">
        <f>AV90</f>
        <v>-</v>
      </c>
      <c r="T90" s="211">
        <f t="shared" si="210"/>
        <v>658.3</v>
      </c>
      <c r="U90" s="212">
        <f t="shared" si="210"/>
        <v>616.6</v>
      </c>
      <c r="V90" s="211" t="str">
        <f>BJ90</f>
        <v>-</v>
      </c>
      <c r="W90" s="211" t="str">
        <f>BR90</f>
        <v>-</v>
      </c>
      <c r="X90" s="211">
        <f>BI90</f>
        <v>622.79999999999995</v>
      </c>
      <c r="Y90" s="211">
        <f>BN90</f>
        <v>664.5</v>
      </c>
      <c r="Z90" s="211">
        <f>BM90</f>
        <v>655.29999999999995</v>
      </c>
      <c r="AA90" s="211" t="str">
        <f>BQ90</f>
        <v>-</v>
      </c>
      <c r="AB90" s="212" t="str">
        <f>BP90</f>
        <v>-</v>
      </c>
      <c r="AC90" s="211" t="str">
        <f>BX90</f>
        <v>-</v>
      </c>
      <c r="AD90" s="211" t="str">
        <f>BU90</f>
        <v>-</v>
      </c>
      <c r="AE90" s="211" t="str">
        <f>BT90</f>
        <v>-</v>
      </c>
      <c r="AF90" s="211" t="str">
        <f>CA90</f>
        <v>-</v>
      </c>
      <c r="AG90" s="211" t="str">
        <f>BV90</f>
        <v>-</v>
      </c>
      <c r="AH90" s="211" t="str">
        <f>BZ90</f>
        <v>-</v>
      </c>
      <c r="AI90" s="211" t="str">
        <f>BW90</f>
        <v>-</v>
      </c>
      <c r="AJ90" s="211" t="str">
        <f>BY90</f>
        <v>-</v>
      </c>
      <c r="AK90" s="212" t="str">
        <f>CB90</f>
        <v>-</v>
      </c>
      <c r="AL90" s="211" t="str">
        <f>CE90</f>
        <v>-</v>
      </c>
      <c r="AM90" s="211">
        <f>CH90</f>
        <v>729.1</v>
      </c>
      <c r="AN90" s="211" t="str">
        <f>CJ90</f>
        <v>-</v>
      </c>
      <c r="AO90" s="211" t="str">
        <f t="shared" si="211"/>
        <v>-</v>
      </c>
      <c r="AP90" s="211" t="str">
        <f t="shared" si="211"/>
        <v>-</v>
      </c>
      <c r="AQ90" s="211" t="str">
        <f>CK90</f>
        <v>-</v>
      </c>
      <c r="AR90" s="211" t="str">
        <f>CI90</f>
        <v>-</v>
      </c>
      <c r="AS90" s="214">
        <f>CG90</f>
        <v>710.6</v>
      </c>
      <c r="AT90" s="211" t="s">
        <v>61</v>
      </c>
      <c r="AU90" s="213">
        <v>745</v>
      </c>
      <c r="AV90" s="211" t="s">
        <v>61</v>
      </c>
      <c r="AW90" s="213" t="s">
        <v>61</v>
      </c>
      <c r="AX90" s="213">
        <v>701.7</v>
      </c>
      <c r="AY90" s="213">
        <v>656.9</v>
      </c>
      <c r="AZ90" s="211" t="s">
        <v>61</v>
      </c>
      <c r="BA90" s="213">
        <v>723.3</v>
      </c>
      <c r="BB90" s="213">
        <v>658.3</v>
      </c>
      <c r="BC90" s="213">
        <v>616.6</v>
      </c>
      <c r="BD90" s="213">
        <v>633.6</v>
      </c>
      <c r="BE90" s="211" t="s">
        <v>61</v>
      </c>
      <c r="BF90" s="212" t="s">
        <v>61</v>
      </c>
      <c r="BG90" s="211" t="s">
        <v>61</v>
      </c>
      <c r="BH90" s="211" t="s">
        <v>61</v>
      </c>
      <c r="BI90" s="213">
        <v>622.79999999999995</v>
      </c>
      <c r="BJ90" s="213" t="s">
        <v>61</v>
      </c>
      <c r="BK90" s="211" t="s">
        <v>61</v>
      </c>
      <c r="BL90" s="213" t="s">
        <v>61</v>
      </c>
      <c r="BM90" s="213">
        <v>655.29999999999995</v>
      </c>
      <c r="BN90" s="213">
        <v>664.5</v>
      </c>
      <c r="BO90" s="211" t="s">
        <v>61</v>
      </c>
      <c r="BP90" s="211" t="s">
        <v>61</v>
      </c>
      <c r="BQ90" s="211" t="s">
        <v>61</v>
      </c>
      <c r="BR90" s="212" t="s">
        <v>61</v>
      </c>
      <c r="BS90" s="211" t="s">
        <v>61</v>
      </c>
      <c r="BT90" s="213" t="s">
        <v>61</v>
      </c>
      <c r="BU90" s="213" t="s">
        <v>61</v>
      </c>
      <c r="BV90" s="213" t="s">
        <v>61</v>
      </c>
      <c r="BW90" s="213" t="s">
        <v>61</v>
      </c>
      <c r="BX90" s="213" t="s">
        <v>61</v>
      </c>
      <c r="BY90" s="213" t="s">
        <v>61</v>
      </c>
      <c r="BZ90" s="213" t="s">
        <v>61</v>
      </c>
      <c r="CA90" s="213" t="s">
        <v>61</v>
      </c>
      <c r="CB90" s="212" t="s">
        <v>61</v>
      </c>
      <c r="CC90" s="213" t="s">
        <v>61</v>
      </c>
      <c r="CD90" s="213" t="s">
        <v>61</v>
      </c>
      <c r="CE90" s="213" t="s">
        <v>61</v>
      </c>
      <c r="CF90" s="211" t="s">
        <v>61</v>
      </c>
      <c r="CG90" s="213">
        <v>710.6</v>
      </c>
      <c r="CH90" s="213">
        <v>729.1</v>
      </c>
      <c r="CI90" s="211" t="s">
        <v>61</v>
      </c>
      <c r="CJ90" s="213" t="s">
        <v>61</v>
      </c>
      <c r="CK90" s="214" t="s">
        <v>61</v>
      </c>
      <c r="CL90" s="229">
        <v>689.9</v>
      </c>
    </row>
    <row r="91" spans="1:90">
      <c r="A91" s="93">
        <f>ROWS($A$3:A89)</f>
        <v>87</v>
      </c>
      <c r="B91" s="106" t="s">
        <v>207</v>
      </c>
      <c r="C91" s="243"/>
      <c r="D91" s="319" t="s">
        <v>205</v>
      </c>
      <c r="E91" s="322">
        <v>40648</v>
      </c>
      <c r="F91" s="210">
        <v>38.5</v>
      </c>
      <c r="G91" s="211">
        <v>40</v>
      </c>
      <c r="H91" s="211">
        <v>40.799999999999997</v>
      </c>
      <c r="I91" s="214">
        <v>37.6</v>
      </c>
      <c r="J91" s="213"/>
      <c r="K91" s="210">
        <f>BF91</f>
        <v>34.9</v>
      </c>
      <c r="L91" s="211">
        <f>AY91</f>
        <v>38.4</v>
      </c>
      <c r="M91" s="211">
        <f>BD91</f>
        <v>36.6</v>
      </c>
      <c r="N91" s="211">
        <f>AW91</f>
        <v>39.299999999999997</v>
      </c>
      <c r="O91" s="211">
        <f>BE91</f>
        <v>35.799999999999997</v>
      </c>
      <c r="P91" s="211">
        <f>BA91</f>
        <v>43</v>
      </c>
      <c r="Q91" s="211">
        <f>'2010'!AU91</f>
        <v>39.6</v>
      </c>
      <c r="R91" s="211">
        <f>AX91</f>
        <v>41.4</v>
      </c>
      <c r="S91" s="211">
        <f>AV91</f>
        <v>42.1</v>
      </c>
      <c r="T91" s="211">
        <f t="shared" si="210"/>
        <v>38.299999999999997</v>
      </c>
      <c r="U91" s="212">
        <f t="shared" si="210"/>
        <v>40.4</v>
      </c>
      <c r="V91" s="211">
        <f>BJ91</f>
        <v>44.1</v>
      </c>
      <c r="W91" s="211">
        <f>BR91</f>
        <v>39.700000000000003</v>
      </c>
      <c r="X91" s="211">
        <f>BI91</f>
        <v>44.1</v>
      </c>
      <c r="Y91" s="211">
        <f>BN91</f>
        <v>41.8</v>
      </c>
      <c r="Z91" s="211">
        <f>BM91</f>
        <v>37.799999999999997</v>
      </c>
      <c r="AA91" s="211">
        <f>BQ91</f>
        <v>37.700000000000003</v>
      </c>
      <c r="AB91" s="212">
        <f>BP91</f>
        <v>41.2</v>
      </c>
      <c r="AC91" s="211" t="str">
        <f>BX91</f>
        <v>-</v>
      </c>
      <c r="AD91" s="211" t="str">
        <f>BU91</f>
        <v>-</v>
      </c>
      <c r="AE91" s="211">
        <f>BT91</f>
        <v>40.200000000000003</v>
      </c>
      <c r="AF91" s="211" t="str">
        <f>CA91</f>
        <v>-</v>
      </c>
      <c r="AG91" s="211">
        <f>BV91</f>
        <v>40.299999999999997</v>
      </c>
      <c r="AH91" s="211">
        <f>BZ91</f>
        <v>29.7</v>
      </c>
      <c r="AI91" s="211">
        <f>BW91</f>
        <v>38.5</v>
      </c>
      <c r="AJ91" s="211">
        <f>BY91</f>
        <v>41.9</v>
      </c>
      <c r="AK91" s="212">
        <f>CB91</f>
        <v>36</v>
      </c>
      <c r="AL91" s="211">
        <f>CE91</f>
        <v>38.200000000000003</v>
      </c>
      <c r="AM91" s="211">
        <f>CH91</f>
        <v>36.5</v>
      </c>
      <c r="AN91" s="211">
        <f>CJ91</f>
        <v>37.6</v>
      </c>
      <c r="AO91" s="211">
        <f t="shared" si="211"/>
        <v>36.5</v>
      </c>
      <c r="AP91" s="211">
        <f t="shared" si="211"/>
        <v>39.799999999999997</v>
      </c>
      <c r="AQ91" s="211">
        <f>CK91</f>
        <v>38.200000000000003</v>
      </c>
      <c r="AR91" s="211">
        <f>CI91</f>
        <v>38</v>
      </c>
      <c r="AS91" s="214">
        <f>CG91</f>
        <v>37.6</v>
      </c>
      <c r="AT91" s="211" t="s">
        <v>61</v>
      </c>
      <c r="AU91" s="211">
        <v>39.6</v>
      </c>
      <c r="AV91" s="211">
        <v>42.1</v>
      </c>
      <c r="AW91" s="213">
        <v>39.299999999999997</v>
      </c>
      <c r="AX91" s="211">
        <v>41.4</v>
      </c>
      <c r="AY91" s="213">
        <v>38.4</v>
      </c>
      <c r="AZ91" s="211" t="s">
        <v>61</v>
      </c>
      <c r="BA91" s="213">
        <v>43</v>
      </c>
      <c r="BB91" s="213">
        <v>38.299999999999997</v>
      </c>
      <c r="BC91" s="213">
        <v>40.4</v>
      </c>
      <c r="BD91" s="213">
        <v>36.6</v>
      </c>
      <c r="BE91" s="213">
        <v>35.799999999999997</v>
      </c>
      <c r="BF91" s="212">
        <v>34.9</v>
      </c>
      <c r="BG91" s="211" t="s">
        <v>61</v>
      </c>
      <c r="BH91" s="211" t="s">
        <v>61</v>
      </c>
      <c r="BI91" s="213">
        <v>44.1</v>
      </c>
      <c r="BJ91" s="213">
        <v>44.1</v>
      </c>
      <c r="BK91" s="211" t="s">
        <v>61</v>
      </c>
      <c r="BL91" s="213" t="s">
        <v>61</v>
      </c>
      <c r="BM91" s="211">
        <v>37.799999999999997</v>
      </c>
      <c r="BN91" s="211">
        <v>41.8</v>
      </c>
      <c r="BO91" s="211" t="s">
        <v>61</v>
      </c>
      <c r="BP91" s="213">
        <v>41.2</v>
      </c>
      <c r="BQ91" s="211">
        <v>37.700000000000003</v>
      </c>
      <c r="BR91" s="212">
        <v>39.700000000000003</v>
      </c>
      <c r="BS91" s="211" t="s">
        <v>61</v>
      </c>
      <c r="BT91" s="213">
        <v>40.200000000000003</v>
      </c>
      <c r="BU91" s="211" t="s">
        <v>61</v>
      </c>
      <c r="BV91" s="213">
        <v>40.299999999999997</v>
      </c>
      <c r="BW91" s="213">
        <v>38.5</v>
      </c>
      <c r="BX91" s="213" t="s">
        <v>61</v>
      </c>
      <c r="BY91" s="213">
        <v>41.9</v>
      </c>
      <c r="BZ91" s="213">
        <v>29.7</v>
      </c>
      <c r="CA91" s="211" t="s">
        <v>61</v>
      </c>
      <c r="CB91" s="212">
        <v>36</v>
      </c>
      <c r="CC91" s="213">
        <v>36.5</v>
      </c>
      <c r="CD91" s="213">
        <v>39.799999999999997</v>
      </c>
      <c r="CE91" s="213">
        <v>38.200000000000003</v>
      </c>
      <c r="CF91" s="211" t="s">
        <v>61</v>
      </c>
      <c r="CG91" s="213">
        <v>37.6</v>
      </c>
      <c r="CH91" s="213">
        <v>36.5</v>
      </c>
      <c r="CI91" s="213">
        <v>38</v>
      </c>
      <c r="CJ91" s="213">
        <v>37.6</v>
      </c>
      <c r="CK91" s="214">
        <v>38.200000000000003</v>
      </c>
      <c r="CL91" s="229">
        <v>38.799999999999997</v>
      </c>
    </row>
    <row r="92" spans="1:90">
      <c r="A92" s="93">
        <f>ROWS($A$3:A90)</f>
        <v>88</v>
      </c>
      <c r="B92" s="106" t="s">
        <v>208</v>
      </c>
      <c r="C92" s="243"/>
      <c r="D92" s="319" t="s">
        <v>205</v>
      </c>
      <c r="E92" s="322">
        <v>40648</v>
      </c>
      <c r="F92" s="210">
        <v>452</v>
      </c>
      <c r="G92" s="213">
        <v>435.2</v>
      </c>
      <c r="H92" s="213">
        <v>450.5</v>
      </c>
      <c r="I92" s="214">
        <v>426.3</v>
      </c>
      <c r="J92" s="213"/>
      <c r="K92" s="210">
        <f>BF92</f>
        <v>453.2</v>
      </c>
      <c r="L92" s="211">
        <f>AY92</f>
        <v>424.1</v>
      </c>
      <c r="M92" s="211">
        <f>BD92</f>
        <v>418.3</v>
      </c>
      <c r="N92" s="211">
        <f>AW92</f>
        <v>450.8</v>
      </c>
      <c r="O92" s="211">
        <f>BE92</f>
        <v>479</v>
      </c>
      <c r="P92" s="211">
        <f>BA92</f>
        <v>461.7</v>
      </c>
      <c r="Q92" s="211">
        <f>'2010'!AU92</f>
        <v>438.9</v>
      </c>
      <c r="R92" s="211">
        <f>AX92</f>
        <v>478.3</v>
      </c>
      <c r="S92" s="211">
        <f>AV92</f>
        <v>453.7</v>
      </c>
      <c r="T92" s="211">
        <f t="shared" si="210"/>
        <v>456.3</v>
      </c>
      <c r="U92" s="212">
        <f t="shared" si="210"/>
        <v>449.1</v>
      </c>
      <c r="V92" s="211">
        <f>BJ92</f>
        <v>404.6</v>
      </c>
      <c r="W92" s="211">
        <f>BR92</f>
        <v>526.1</v>
      </c>
      <c r="X92" s="211">
        <f>BI92</f>
        <v>446.1</v>
      </c>
      <c r="Y92" s="211">
        <f>BN92</f>
        <v>426.2</v>
      </c>
      <c r="Z92" s="211">
        <f>BM92</f>
        <v>401.9</v>
      </c>
      <c r="AA92" s="211">
        <f>BQ92</f>
        <v>438.9</v>
      </c>
      <c r="AB92" s="212">
        <f>BP92</f>
        <v>458.5</v>
      </c>
      <c r="AC92" s="211" t="str">
        <f>BX92</f>
        <v>-</v>
      </c>
      <c r="AD92" s="211" t="str">
        <f>BU92</f>
        <v>-</v>
      </c>
      <c r="AE92" s="211">
        <f>BT92</f>
        <v>432.8</v>
      </c>
      <c r="AF92" s="211">
        <f>CA92</f>
        <v>474</v>
      </c>
      <c r="AG92" s="211">
        <f>BV92</f>
        <v>482.1</v>
      </c>
      <c r="AH92" s="211">
        <f>BZ92</f>
        <v>462.8</v>
      </c>
      <c r="AI92" s="211">
        <f>BW92</f>
        <v>412.2</v>
      </c>
      <c r="AJ92" s="211">
        <f>BY92</f>
        <v>500.2</v>
      </c>
      <c r="AK92" s="212">
        <f>CB92</f>
        <v>434.6</v>
      </c>
      <c r="AL92" s="211">
        <f>CE92</f>
        <v>388.2</v>
      </c>
      <c r="AM92" s="211">
        <f>CH92</f>
        <v>406.1</v>
      </c>
      <c r="AN92" s="211">
        <f>CJ92</f>
        <v>415.8</v>
      </c>
      <c r="AO92" s="211">
        <f t="shared" si="211"/>
        <v>358.1</v>
      </c>
      <c r="AP92" s="211">
        <f t="shared" si="211"/>
        <v>429.5</v>
      </c>
      <c r="AQ92" s="211">
        <f>CK92</f>
        <v>440.7</v>
      </c>
      <c r="AR92" s="211">
        <f>CI92</f>
        <v>535.70000000000005</v>
      </c>
      <c r="AS92" s="214">
        <f>CG92</f>
        <v>458.1</v>
      </c>
      <c r="AT92" s="211" t="s">
        <v>61</v>
      </c>
      <c r="AU92" s="213">
        <v>438.9</v>
      </c>
      <c r="AV92" s="213">
        <v>453.7</v>
      </c>
      <c r="AW92" s="213">
        <v>450.8</v>
      </c>
      <c r="AX92" s="213">
        <v>478.3</v>
      </c>
      <c r="AY92" s="213">
        <v>424.1</v>
      </c>
      <c r="AZ92" s="211" t="s">
        <v>61</v>
      </c>
      <c r="BA92" s="213">
        <v>461.7</v>
      </c>
      <c r="BB92" s="213">
        <v>456.3</v>
      </c>
      <c r="BC92" s="213">
        <v>449.1</v>
      </c>
      <c r="BD92" s="213">
        <v>418.3</v>
      </c>
      <c r="BE92" s="213">
        <v>479</v>
      </c>
      <c r="BF92" s="212">
        <v>453.2</v>
      </c>
      <c r="BG92" s="211" t="s">
        <v>61</v>
      </c>
      <c r="BH92" s="211" t="s">
        <v>61</v>
      </c>
      <c r="BI92" s="213">
        <v>446.1</v>
      </c>
      <c r="BJ92" s="213">
        <v>404.6</v>
      </c>
      <c r="BK92" s="211" t="s">
        <v>61</v>
      </c>
      <c r="BL92" s="213" t="s">
        <v>61</v>
      </c>
      <c r="BM92" s="213">
        <v>401.9</v>
      </c>
      <c r="BN92" s="213">
        <v>426.2</v>
      </c>
      <c r="BO92" s="211" t="s">
        <v>61</v>
      </c>
      <c r="BP92" s="213">
        <v>458.5</v>
      </c>
      <c r="BQ92" s="213">
        <v>438.9</v>
      </c>
      <c r="BR92" s="212">
        <v>526.1</v>
      </c>
      <c r="BS92" s="211" t="s">
        <v>61</v>
      </c>
      <c r="BT92" s="213">
        <v>432.8</v>
      </c>
      <c r="BU92" s="211" t="s">
        <v>61</v>
      </c>
      <c r="BV92" s="213">
        <v>482.1</v>
      </c>
      <c r="BW92" s="213">
        <v>412.2</v>
      </c>
      <c r="BX92" s="213" t="s">
        <v>61</v>
      </c>
      <c r="BY92" s="213">
        <v>500.2</v>
      </c>
      <c r="BZ92" s="213">
        <v>462.8</v>
      </c>
      <c r="CA92" s="213">
        <v>474</v>
      </c>
      <c r="CB92" s="212">
        <v>434.6</v>
      </c>
      <c r="CC92" s="213">
        <v>358.1</v>
      </c>
      <c r="CD92" s="213">
        <v>429.5</v>
      </c>
      <c r="CE92" s="213">
        <v>388.2</v>
      </c>
      <c r="CF92" s="211" t="s">
        <v>61</v>
      </c>
      <c r="CG92" s="213">
        <v>458.1</v>
      </c>
      <c r="CH92" s="213">
        <v>406.1</v>
      </c>
      <c r="CI92" s="213">
        <v>535.70000000000005</v>
      </c>
      <c r="CJ92" s="213">
        <v>415.8</v>
      </c>
      <c r="CK92" s="214">
        <v>440.7</v>
      </c>
      <c r="CL92" s="229">
        <v>439.1</v>
      </c>
    </row>
    <row r="93" spans="1:90">
      <c r="A93" s="93">
        <f>ROWS($A$3:A91)</f>
        <v>89</v>
      </c>
      <c r="B93" s="62" t="s">
        <v>105</v>
      </c>
      <c r="C93" s="242"/>
      <c r="D93" s="319" t="s">
        <v>4</v>
      </c>
      <c r="E93" s="322"/>
      <c r="F93" s="157">
        <v>0.37</v>
      </c>
      <c r="G93" s="158">
        <v>0.37</v>
      </c>
      <c r="H93" s="158">
        <v>0.69</v>
      </c>
      <c r="I93" s="159">
        <v>0.54</v>
      </c>
      <c r="J93" s="162"/>
      <c r="K93" s="157">
        <f>BF93</f>
        <v>0.97</v>
      </c>
      <c r="L93" s="158">
        <f>AY93</f>
        <v>0.64</v>
      </c>
      <c r="M93" s="158">
        <f>BD93</f>
        <v>0.66</v>
      </c>
      <c r="N93" s="158">
        <f>AW93</f>
        <v>0.75</v>
      </c>
      <c r="O93" s="158">
        <f>BE93</f>
        <v>0.52</v>
      </c>
      <c r="P93" s="230">
        <f>(AZ35*AZ93+BA35*BA93)/P35</f>
        <v>7.424074935000087E-2</v>
      </c>
      <c r="Q93" s="158">
        <f>'2010'!AU93</f>
        <v>0.51</v>
      </c>
      <c r="R93" s="230">
        <f>(AT35*AT93+AX35*AX93)/R35</f>
        <v>0</v>
      </c>
      <c r="S93" s="158">
        <f>AV93</f>
        <v>0.59</v>
      </c>
      <c r="T93" s="158">
        <f t="shared" si="210"/>
        <v>0.51</v>
      </c>
      <c r="U93" s="160">
        <f t="shared" si="210"/>
        <v>0.93</v>
      </c>
      <c r="V93" s="230">
        <f>(BG35*BG93+BJ35*BJ93)/V35</f>
        <v>0.1739520808635428</v>
      </c>
      <c r="W93" s="158">
        <f>BR93</f>
        <v>0.82</v>
      </c>
      <c r="X93" s="230">
        <f>(BH35*BH93+BI35*BI93)/X35</f>
        <v>3.7476574635466248E-2</v>
      </c>
      <c r="Y93" s="230">
        <f>(BK35*BK93+BL35*BL93+BN35*BN93)/Y35</f>
        <v>6.2762376700481515E-2</v>
      </c>
      <c r="Z93" s="158">
        <f>BM93</f>
        <v>0.65</v>
      </c>
      <c r="AA93" s="230">
        <f>(BO35*BO93+BQ35*BQ93)/AA35</f>
        <v>0.41887775352252427</v>
      </c>
      <c r="AB93" s="160">
        <f>BP93</f>
        <v>0.74</v>
      </c>
      <c r="AC93" s="158">
        <f>BX93</f>
        <v>0.96</v>
      </c>
      <c r="AD93" s="158">
        <f>BU93</f>
        <v>0.46</v>
      </c>
      <c r="AE93" s="230">
        <f>(BS35*BS93+BT35*BT93)/AE35</f>
        <v>0.48083499539736113</v>
      </c>
      <c r="AF93" s="158">
        <f>CA93</f>
        <v>0.56999999999999995</v>
      </c>
      <c r="AG93" s="158">
        <f>BV93</f>
        <v>0.38</v>
      </c>
      <c r="AH93" s="158">
        <f>BZ93</f>
        <v>0.59</v>
      </c>
      <c r="AI93" s="158">
        <f>BW93</f>
        <v>1</v>
      </c>
      <c r="AJ93" s="158">
        <f>BY93</f>
        <v>1</v>
      </c>
      <c r="AK93" s="160">
        <f>CB93</f>
        <v>1</v>
      </c>
      <c r="AL93" s="158">
        <f>CE93</f>
        <v>0.98</v>
      </c>
      <c r="AM93" s="158">
        <f>CH93</f>
        <v>0.15</v>
      </c>
      <c r="AN93" s="158">
        <f>CJ93</f>
        <v>0.57999999999999996</v>
      </c>
      <c r="AO93" s="158">
        <f t="shared" si="211"/>
        <v>0.98</v>
      </c>
      <c r="AP93" s="158">
        <f t="shared" si="211"/>
        <v>0.53</v>
      </c>
      <c r="AQ93" s="158">
        <f>CK93</f>
        <v>0.73</v>
      </c>
      <c r="AR93" s="158">
        <f>CI93</f>
        <v>0.26</v>
      </c>
      <c r="AS93" s="231">
        <f>(CF35*CF93+CG35*CG93)/AS35</f>
        <v>0.41793752620012448</v>
      </c>
      <c r="AT93" s="158">
        <v>0</v>
      </c>
      <c r="AU93" s="158">
        <v>0.51</v>
      </c>
      <c r="AV93" s="158">
        <v>0.59</v>
      </c>
      <c r="AW93" s="158">
        <v>0.75</v>
      </c>
      <c r="AX93" s="158">
        <v>0</v>
      </c>
      <c r="AY93" s="158">
        <v>0.64</v>
      </c>
      <c r="AZ93" s="158">
        <v>0</v>
      </c>
      <c r="BA93" s="158">
        <v>0.08</v>
      </c>
      <c r="BB93" s="158">
        <v>0.51</v>
      </c>
      <c r="BC93" s="158">
        <v>0.93</v>
      </c>
      <c r="BD93" s="158">
        <v>0.66</v>
      </c>
      <c r="BE93" s="158">
        <v>0.52</v>
      </c>
      <c r="BF93" s="160">
        <v>0.97</v>
      </c>
      <c r="BG93" s="158">
        <v>0.69</v>
      </c>
      <c r="BH93" s="158">
        <v>0</v>
      </c>
      <c r="BI93" s="158">
        <v>0.04</v>
      </c>
      <c r="BJ93" s="158">
        <v>0.12</v>
      </c>
      <c r="BK93" s="158">
        <v>0.01</v>
      </c>
      <c r="BL93" s="158">
        <v>0</v>
      </c>
      <c r="BM93" s="158">
        <v>0.65</v>
      </c>
      <c r="BN93" s="158">
        <v>7.0000000000000007E-2</v>
      </c>
      <c r="BO93" s="158">
        <v>0.21</v>
      </c>
      <c r="BP93" s="158">
        <v>0.74</v>
      </c>
      <c r="BQ93" s="158">
        <v>0.43</v>
      </c>
      <c r="BR93" s="160">
        <v>0.82</v>
      </c>
      <c r="BS93" s="158">
        <v>0.21</v>
      </c>
      <c r="BT93" s="158">
        <v>0.5</v>
      </c>
      <c r="BU93" s="158">
        <v>0.46</v>
      </c>
      <c r="BV93" s="158">
        <v>0.38</v>
      </c>
      <c r="BW93" s="158">
        <v>1</v>
      </c>
      <c r="BX93" s="158">
        <v>0.96</v>
      </c>
      <c r="BY93" s="158">
        <v>1</v>
      </c>
      <c r="BZ93" s="158">
        <v>0.59</v>
      </c>
      <c r="CA93" s="158">
        <v>0.56999999999999995</v>
      </c>
      <c r="CB93" s="160">
        <v>1</v>
      </c>
      <c r="CC93" s="158">
        <v>0.98</v>
      </c>
      <c r="CD93" s="158">
        <v>0.53</v>
      </c>
      <c r="CE93" s="158">
        <v>0.98</v>
      </c>
      <c r="CF93" s="158">
        <v>7.0000000000000007E-2</v>
      </c>
      <c r="CG93" s="158">
        <v>0.44</v>
      </c>
      <c r="CH93" s="158">
        <v>0.15</v>
      </c>
      <c r="CI93" s="158">
        <v>0.26</v>
      </c>
      <c r="CJ93" s="158">
        <v>0.57999999999999996</v>
      </c>
      <c r="CK93" s="159">
        <v>0.73</v>
      </c>
      <c r="CL93" s="161">
        <v>0.56999999999999995</v>
      </c>
    </row>
    <row r="94" spans="1:90">
      <c r="A94" s="93">
        <f>ROWS($A$3:A92)</f>
        <v>90</v>
      </c>
      <c r="B94" s="67" t="s">
        <v>266</v>
      </c>
      <c r="C94" s="243"/>
      <c r="D94" s="319"/>
      <c r="E94" s="322"/>
      <c r="F94" s="156"/>
      <c r="G94" s="177"/>
      <c r="H94" s="177"/>
      <c r="I94" s="178"/>
      <c r="J94" s="181"/>
      <c r="K94" s="156"/>
      <c r="L94" s="177"/>
      <c r="M94" s="177"/>
      <c r="N94" s="177"/>
      <c r="O94" s="177"/>
      <c r="P94" s="177"/>
      <c r="Q94" s="177"/>
      <c r="R94" s="177"/>
      <c r="S94" s="177"/>
      <c r="T94" s="177"/>
      <c r="U94" s="179"/>
      <c r="V94" s="177"/>
      <c r="W94" s="177"/>
      <c r="X94" s="177"/>
      <c r="Y94" s="177"/>
      <c r="Z94" s="177"/>
      <c r="AA94" s="177"/>
      <c r="AB94" s="179"/>
      <c r="AC94" s="177"/>
      <c r="AD94" s="177"/>
      <c r="AE94" s="177"/>
      <c r="AF94" s="177"/>
      <c r="AG94" s="177"/>
      <c r="AH94" s="177"/>
      <c r="AI94" s="177"/>
      <c r="AJ94" s="177"/>
      <c r="AK94" s="179"/>
      <c r="AL94" s="177"/>
      <c r="AM94" s="177"/>
      <c r="AN94" s="177"/>
      <c r="AO94" s="177"/>
      <c r="AP94" s="177"/>
      <c r="AQ94" s="177"/>
      <c r="AR94" s="177"/>
      <c r="AS94" s="178"/>
      <c r="AT94" s="177"/>
      <c r="AU94" s="177"/>
      <c r="AV94" s="177"/>
      <c r="AW94" s="177"/>
      <c r="AX94" s="177"/>
      <c r="AY94" s="177"/>
      <c r="AZ94" s="177"/>
      <c r="BA94" s="177"/>
      <c r="BB94" s="177"/>
      <c r="BC94" s="177"/>
      <c r="BD94" s="177"/>
      <c r="BE94" s="177"/>
      <c r="BF94" s="179"/>
      <c r="BG94" s="177"/>
      <c r="BH94" s="177"/>
      <c r="BI94" s="177"/>
      <c r="BJ94" s="177"/>
      <c r="BK94" s="177"/>
      <c r="BL94" s="177"/>
      <c r="BM94" s="177"/>
      <c r="BN94" s="177"/>
      <c r="BO94" s="177"/>
      <c r="BP94" s="177"/>
      <c r="BQ94" s="177"/>
      <c r="BR94" s="179"/>
      <c r="BS94" s="177"/>
      <c r="BT94" s="177"/>
      <c r="BU94" s="177"/>
      <c r="BV94" s="177"/>
      <c r="BW94" s="177"/>
      <c r="BX94" s="177"/>
      <c r="BY94" s="177"/>
      <c r="BZ94" s="177"/>
      <c r="CA94" s="177"/>
      <c r="CB94" s="179"/>
      <c r="CC94" s="177"/>
      <c r="CD94" s="177"/>
      <c r="CE94" s="177"/>
      <c r="CF94" s="177"/>
      <c r="CG94" s="177"/>
      <c r="CH94" s="177"/>
      <c r="CI94" s="177"/>
      <c r="CJ94" s="177"/>
      <c r="CK94" s="178"/>
      <c r="CL94" s="180"/>
    </row>
    <row r="95" spans="1:90">
      <c r="A95" s="93">
        <f>ROWS($A$3:A94)</f>
        <v>92</v>
      </c>
      <c r="B95" s="295" t="s">
        <v>106</v>
      </c>
      <c r="C95" s="243">
        <v>2010</v>
      </c>
      <c r="D95" s="319" t="s">
        <v>11</v>
      </c>
      <c r="E95" s="322"/>
      <c r="F95" s="156">
        <f>SUM(AT95:BF95)</f>
        <v>617300</v>
      </c>
      <c r="G95" s="177">
        <f>SUM(BG95:BR95)</f>
        <v>141500</v>
      </c>
      <c r="H95" s="177">
        <f>SUM(BS95:CB95)</f>
        <v>370400</v>
      </c>
      <c r="I95" s="178">
        <f>SUM(CC95:CK95)</f>
        <v>1004800</v>
      </c>
      <c r="J95" s="181"/>
      <c r="K95" s="156">
        <f>BF95</f>
        <v>165800</v>
      </c>
      <c r="L95" s="177">
        <f>AY95</f>
        <v>42000</v>
      </c>
      <c r="M95" s="177">
        <f>BD95</f>
        <v>41900</v>
      </c>
      <c r="N95" s="177">
        <f>AW95</f>
        <v>57600</v>
      </c>
      <c r="O95" s="177">
        <f>BE95</f>
        <v>44000</v>
      </c>
      <c r="P95" s="177">
        <f>BA95</f>
        <v>27400</v>
      </c>
      <c r="Q95" s="177">
        <f>'2010'!AU95</f>
        <v>17100</v>
      </c>
      <c r="R95" s="177">
        <f>AX95</f>
        <v>28800</v>
      </c>
      <c r="S95" s="177">
        <f>AV95</f>
        <v>12300</v>
      </c>
      <c r="T95" s="177">
        <f t="shared" ref="T95:U98" si="212">BB95</f>
        <v>43200</v>
      </c>
      <c r="U95" s="179">
        <f t="shared" si="212"/>
        <v>135100</v>
      </c>
      <c r="V95" s="177">
        <f>BJ95</f>
        <v>1900</v>
      </c>
      <c r="W95" s="177">
        <f>BR95</f>
        <v>23000</v>
      </c>
      <c r="X95" s="177">
        <f>BI95</f>
        <v>6400</v>
      </c>
      <c r="Y95" s="177">
        <f>BN95</f>
        <v>22700</v>
      </c>
      <c r="Z95" s="177">
        <f>BM95</f>
        <v>47900</v>
      </c>
      <c r="AA95" s="177">
        <f>BQ95</f>
        <v>18600</v>
      </c>
      <c r="AB95" s="179">
        <f>BP95</f>
        <v>21000</v>
      </c>
      <c r="AC95" s="177">
        <f>BX95</f>
        <v>64900</v>
      </c>
      <c r="AD95" s="177">
        <f>BU95</f>
        <v>18300</v>
      </c>
      <c r="AE95" s="177">
        <f>BT95</f>
        <v>56300</v>
      </c>
      <c r="AF95" s="177">
        <f>CA95</f>
        <v>17900</v>
      </c>
      <c r="AG95" s="177">
        <f>BV95</f>
        <v>38800</v>
      </c>
      <c r="AH95" s="177">
        <f>BZ95</f>
        <v>56400</v>
      </c>
      <c r="AI95" s="177">
        <f>BW95</f>
        <v>26900</v>
      </c>
      <c r="AJ95" s="177">
        <f>BY95</f>
        <v>32900</v>
      </c>
      <c r="AK95" s="179">
        <f>CB95</f>
        <v>58000</v>
      </c>
      <c r="AL95" s="177">
        <f>CE95</f>
        <v>21200</v>
      </c>
      <c r="AM95" s="177">
        <f>CH95</f>
        <v>217100</v>
      </c>
      <c r="AN95" s="177">
        <f>CJ95</f>
        <v>443900</v>
      </c>
      <c r="AO95" s="177">
        <f t="shared" ref="AO95:AP98" si="213">CC95</f>
        <v>49800</v>
      </c>
      <c r="AP95" s="177">
        <f t="shared" si="213"/>
        <v>9200</v>
      </c>
      <c r="AQ95" s="177">
        <f>CK95</f>
        <v>78000</v>
      </c>
      <c r="AR95" s="177">
        <f>CI95</f>
        <v>62000</v>
      </c>
      <c r="AS95" s="178">
        <f>CG95</f>
        <v>123600</v>
      </c>
      <c r="AT95" s="304">
        <v>2100</v>
      </c>
      <c r="AU95" s="304">
        <v>17100</v>
      </c>
      <c r="AV95" s="304">
        <v>12300</v>
      </c>
      <c r="AW95" s="304">
        <v>57600</v>
      </c>
      <c r="AX95" s="304">
        <v>28800</v>
      </c>
      <c r="AY95" s="304">
        <v>42000</v>
      </c>
      <c r="AZ95" s="304">
        <v>0</v>
      </c>
      <c r="BA95" s="304">
        <v>27400</v>
      </c>
      <c r="BB95" s="304">
        <v>43200</v>
      </c>
      <c r="BC95" s="304">
        <v>135100</v>
      </c>
      <c r="BD95" s="304">
        <v>41900</v>
      </c>
      <c r="BE95" s="304">
        <v>44000</v>
      </c>
      <c r="BF95" s="305">
        <v>165800</v>
      </c>
      <c r="BG95" s="304">
        <v>0</v>
      </c>
      <c r="BH95" s="304">
        <v>0</v>
      </c>
      <c r="BI95" s="304">
        <v>6400</v>
      </c>
      <c r="BJ95" s="304">
        <v>1900</v>
      </c>
      <c r="BK95" s="304">
        <v>0</v>
      </c>
      <c r="BL95" s="304">
        <v>0</v>
      </c>
      <c r="BM95" s="304">
        <v>47900</v>
      </c>
      <c r="BN95" s="304">
        <v>22700</v>
      </c>
      <c r="BO95" s="304">
        <v>0</v>
      </c>
      <c r="BP95" s="304">
        <v>21000</v>
      </c>
      <c r="BQ95" s="304">
        <v>18600</v>
      </c>
      <c r="BR95" s="305">
        <v>23000</v>
      </c>
      <c r="BS95" s="304">
        <v>0</v>
      </c>
      <c r="BT95" s="304">
        <v>56300</v>
      </c>
      <c r="BU95" s="304">
        <v>18300</v>
      </c>
      <c r="BV95" s="304">
        <v>38800</v>
      </c>
      <c r="BW95" s="304">
        <v>26900</v>
      </c>
      <c r="BX95" s="304">
        <v>64900</v>
      </c>
      <c r="BY95" s="304">
        <v>32900</v>
      </c>
      <c r="BZ95" s="304">
        <v>56400</v>
      </c>
      <c r="CA95" s="304">
        <v>17900</v>
      </c>
      <c r="CB95" s="305">
        <v>58000</v>
      </c>
      <c r="CC95" s="304">
        <v>49800</v>
      </c>
      <c r="CD95" s="304">
        <v>9200</v>
      </c>
      <c r="CE95" s="304">
        <v>21200</v>
      </c>
      <c r="CF95" s="304">
        <v>0</v>
      </c>
      <c r="CG95" s="304">
        <v>123600</v>
      </c>
      <c r="CH95" s="304">
        <v>217100</v>
      </c>
      <c r="CI95" s="304">
        <v>62000</v>
      </c>
      <c r="CJ95" s="304">
        <v>443900</v>
      </c>
      <c r="CK95" s="306">
        <v>78000</v>
      </c>
      <c r="CL95" s="180">
        <v>2232162</v>
      </c>
    </row>
    <row r="96" spans="1:90">
      <c r="A96" s="93">
        <f>ROWS($A$3:A94)</f>
        <v>92</v>
      </c>
      <c r="B96" s="106" t="s">
        <v>107</v>
      </c>
      <c r="C96" s="238">
        <v>2010</v>
      </c>
      <c r="D96" s="319" t="s">
        <v>11</v>
      </c>
      <c r="E96" s="322">
        <v>40683</v>
      </c>
      <c r="F96" s="156">
        <f>SUM(AT96:BF96)</f>
        <v>617399</v>
      </c>
      <c r="G96" s="177">
        <f>SUM(BG96:BR96)</f>
        <v>142781</v>
      </c>
      <c r="H96" s="177">
        <f>SUM(BS96:CB96)</f>
        <v>370424</v>
      </c>
      <c r="I96" s="178">
        <f>SUM(CC96:CK96)</f>
        <v>1004630</v>
      </c>
      <c r="J96" s="181"/>
      <c r="K96" s="156">
        <f>BF96</f>
        <v>165837</v>
      </c>
      <c r="L96" s="177">
        <f>AY96</f>
        <v>41990</v>
      </c>
      <c r="M96" s="177">
        <f>BD96</f>
        <v>41892</v>
      </c>
      <c r="N96" s="177">
        <f>AW96</f>
        <v>57563</v>
      </c>
      <c r="O96" s="177">
        <f>BE96</f>
        <v>44020</v>
      </c>
      <c r="P96" s="177">
        <f>BA96</f>
        <v>26046</v>
      </c>
      <c r="Q96" s="177">
        <f>'2010'!AU96</f>
        <v>17142</v>
      </c>
      <c r="R96" s="177">
        <f>AX96</f>
        <v>28784</v>
      </c>
      <c r="S96" s="177">
        <f>AV96</f>
        <v>12315</v>
      </c>
      <c r="T96" s="177">
        <f>BB96</f>
        <v>43221</v>
      </c>
      <c r="U96" s="179">
        <f>BC96</f>
        <v>135140</v>
      </c>
      <c r="V96" s="177">
        <f>BJ96</f>
        <v>1905</v>
      </c>
      <c r="W96" s="177">
        <f>BR96</f>
        <v>23030</v>
      </c>
      <c r="X96" s="177">
        <f>BI96</f>
        <v>6427</v>
      </c>
      <c r="Y96" s="177">
        <f>BN96</f>
        <v>22732</v>
      </c>
      <c r="Z96" s="177">
        <f>BM96</f>
        <v>47945</v>
      </c>
      <c r="AA96" s="177">
        <f>BQ96</f>
        <v>18389</v>
      </c>
      <c r="AB96" s="179">
        <f>BP96</f>
        <v>21039</v>
      </c>
      <c r="AC96" s="177">
        <f>BX96</f>
        <v>64945</v>
      </c>
      <c r="AD96" s="177">
        <f>BU96</f>
        <v>18303</v>
      </c>
      <c r="AE96" s="177">
        <f>BT96</f>
        <v>56256</v>
      </c>
      <c r="AF96" s="177">
        <f>CA96</f>
        <v>17921</v>
      </c>
      <c r="AG96" s="177">
        <f>BV96</f>
        <v>38783</v>
      </c>
      <c r="AH96" s="177">
        <f>BZ96</f>
        <v>56430</v>
      </c>
      <c r="AI96" s="177">
        <f>BW96</f>
        <v>26870</v>
      </c>
      <c r="AJ96" s="177">
        <f>BY96</f>
        <v>32882</v>
      </c>
      <c r="AK96" s="179">
        <f>CB96</f>
        <v>58034</v>
      </c>
      <c r="AL96" s="177">
        <f>CE96</f>
        <v>21184</v>
      </c>
      <c r="AM96" s="177">
        <f>CH96</f>
        <v>217098</v>
      </c>
      <c r="AN96" s="177">
        <f>CJ96</f>
        <v>443864</v>
      </c>
      <c r="AO96" s="177">
        <f>CC96</f>
        <v>49804</v>
      </c>
      <c r="AP96" s="177">
        <f>CD96</f>
        <v>9156</v>
      </c>
      <c r="AQ96" s="177">
        <f>CK96</f>
        <v>78000</v>
      </c>
      <c r="AR96" s="177">
        <f>CI96</f>
        <v>61951</v>
      </c>
      <c r="AS96" s="178">
        <f>CG96</f>
        <v>117483</v>
      </c>
      <c r="AT96" s="177">
        <v>2097</v>
      </c>
      <c r="AU96" s="177">
        <v>17142</v>
      </c>
      <c r="AV96" s="177">
        <v>12315</v>
      </c>
      <c r="AW96" s="177">
        <v>57563</v>
      </c>
      <c r="AX96" s="177">
        <v>28784</v>
      </c>
      <c r="AY96" s="177">
        <v>41990</v>
      </c>
      <c r="AZ96" s="177">
        <v>1352</v>
      </c>
      <c r="BA96" s="177">
        <v>26046</v>
      </c>
      <c r="BB96" s="177">
        <v>43221</v>
      </c>
      <c r="BC96" s="177">
        <v>135140</v>
      </c>
      <c r="BD96" s="177">
        <v>41892</v>
      </c>
      <c r="BE96" s="177">
        <v>44020</v>
      </c>
      <c r="BF96" s="179">
        <v>165837</v>
      </c>
      <c r="BG96" s="181">
        <v>0</v>
      </c>
      <c r="BH96" s="177">
        <v>0</v>
      </c>
      <c r="BI96" s="177">
        <v>6427</v>
      </c>
      <c r="BJ96" s="177">
        <v>1905</v>
      </c>
      <c r="BK96" s="177">
        <v>1079</v>
      </c>
      <c r="BL96" s="177">
        <v>54</v>
      </c>
      <c r="BM96" s="177">
        <v>47945</v>
      </c>
      <c r="BN96" s="177">
        <v>22732</v>
      </c>
      <c r="BO96" s="177">
        <v>181</v>
      </c>
      <c r="BP96" s="177">
        <v>21039</v>
      </c>
      <c r="BQ96" s="177">
        <v>18389</v>
      </c>
      <c r="BR96" s="179">
        <v>23030</v>
      </c>
      <c r="BS96" s="177">
        <v>0</v>
      </c>
      <c r="BT96" s="177">
        <v>56256</v>
      </c>
      <c r="BU96" s="177">
        <v>18303</v>
      </c>
      <c r="BV96" s="177">
        <v>38783</v>
      </c>
      <c r="BW96" s="177">
        <v>26870</v>
      </c>
      <c r="BX96" s="177">
        <v>64945</v>
      </c>
      <c r="BY96" s="177">
        <v>32882</v>
      </c>
      <c r="BZ96" s="177">
        <v>56430</v>
      </c>
      <c r="CA96" s="177">
        <v>17921</v>
      </c>
      <c r="CB96" s="179">
        <v>58034</v>
      </c>
      <c r="CC96" s="177">
        <v>49804</v>
      </c>
      <c r="CD96" s="177">
        <v>9156</v>
      </c>
      <c r="CE96" s="177">
        <v>21184</v>
      </c>
      <c r="CF96" s="177">
        <v>6090</v>
      </c>
      <c r="CG96" s="177">
        <v>117483</v>
      </c>
      <c r="CH96" s="177">
        <v>217098</v>
      </c>
      <c r="CI96" s="177">
        <v>61951</v>
      </c>
      <c r="CJ96" s="177">
        <v>443864</v>
      </c>
      <c r="CK96" s="178">
        <v>78000</v>
      </c>
      <c r="CL96" s="180">
        <v>2128830</v>
      </c>
    </row>
    <row r="97" spans="1:90">
      <c r="A97" s="93">
        <f>ROWS($A$3:A95)</f>
        <v>93</v>
      </c>
      <c r="B97" s="63" t="s">
        <v>82</v>
      </c>
      <c r="C97" s="242">
        <v>2001</v>
      </c>
      <c r="D97" s="319" t="s">
        <v>14</v>
      </c>
      <c r="E97" s="322">
        <v>40441</v>
      </c>
      <c r="F97" s="194">
        <v>122737</v>
      </c>
      <c r="G97" s="195">
        <v>30239</v>
      </c>
      <c r="H97" s="195">
        <v>82089</v>
      </c>
      <c r="I97" s="196">
        <v>186831</v>
      </c>
      <c r="J97" s="348"/>
      <c r="K97" s="197">
        <f>BF97</f>
        <v>29042</v>
      </c>
      <c r="L97" s="147">
        <f>AY97</f>
        <v>8671</v>
      </c>
      <c r="M97" s="147">
        <f>BD97</f>
        <v>9647</v>
      </c>
      <c r="N97" s="147">
        <f>AW97</f>
        <v>12155</v>
      </c>
      <c r="O97" s="147">
        <f>BE97</f>
        <v>8882</v>
      </c>
      <c r="P97" s="147">
        <f>AZ97+BA97</f>
        <v>6750</v>
      </c>
      <c r="Q97" s="147">
        <f>'2010'!AU97</f>
        <v>3596</v>
      </c>
      <c r="R97" s="147">
        <f>AT97+AX97</f>
        <v>6359</v>
      </c>
      <c r="S97" s="147">
        <f>AV97</f>
        <v>3597</v>
      </c>
      <c r="T97" s="147">
        <f t="shared" si="212"/>
        <v>9048</v>
      </c>
      <c r="U97" s="145">
        <f t="shared" si="212"/>
        <v>25010</v>
      </c>
      <c r="V97" s="147">
        <f>BJ97</f>
        <v>733</v>
      </c>
      <c r="W97" s="147">
        <f>BR97</f>
        <v>4744</v>
      </c>
      <c r="X97" s="147">
        <f>BH97+BI97</f>
        <v>2102</v>
      </c>
      <c r="Y97" s="147">
        <f>BK97+BL97+BN97</f>
        <v>5175</v>
      </c>
      <c r="Z97" s="147">
        <f>BM97</f>
        <v>9713</v>
      </c>
      <c r="AA97" s="147">
        <f>BO97+BQ97</f>
        <v>3302</v>
      </c>
      <c r="AB97" s="145">
        <f>BP97</f>
        <v>4470</v>
      </c>
      <c r="AC97" s="147">
        <f>BX97</f>
        <v>13714</v>
      </c>
      <c r="AD97" s="147">
        <f>BU97</f>
        <v>4577</v>
      </c>
      <c r="AE97" s="147">
        <f>BT97</f>
        <v>12575</v>
      </c>
      <c r="AF97" s="147">
        <f>CA97</f>
        <v>5079</v>
      </c>
      <c r="AG97" s="147">
        <f>BV97</f>
        <v>11376</v>
      </c>
      <c r="AH97" s="147">
        <f>BZ97</f>
        <v>10288</v>
      </c>
      <c r="AI97" s="147">
        <f>BW97</f>
        <v>6966</v>
      </c>
      <c r="AJ97" s="147">
        <f>BY97</f>
        <v>5669</v>
      </c>
      <c r="AK97" s="145">
        <f>CB97</f>
        <v>11846</v>
      </c>
      <c r="AL97" s="147">
        <f>CE97</f>
        <v>3682</v>
      </c>
      <c r="AM97" s="147">
        <f>CH97</f>
        <v>40047</v>
      </c>
      <c r="AN97" s="147">
        <f>CJ97</f>
        <v>77867</v>
      </c>
      <c r="AO97" s="147">
        <f t="shared" si="213"/>
        <v>10463</v>
      </c>
      <c r="AP97" s="147">
        <f t="shared" si="213"/>
        <v>2188</v>
      </c>
      <c r="AQ97" s="147">
        <f>CK97</f>
        <v>16050</v>
      </c>
      <c r="AR97" s="147">
        <f>CI97</f>
        <v>13238</v>
      </c>
      <c r="AS97" s="198">
        <f>CF97+CG97</f>
        <v>23297</v>
      </c>
      <c r="AT97" s="147">
        <v>488</v>
      </c>
      <c r="AU97" s="147">
        <v>3596</v>
      </c>
      <c r="AV97" s="147">
        <v>3597</v>
      </c>
      <c r="AW97" s="147">
        <v>12155</v>
      </c>
      <c r="AX97" s="147">
        <v>5871</v>
      </c>
      <c r="AY97" s="147">
        <v>8671</v>
      </c>
      <c r="AZ97" s="147">
        <v>266</v>
      </c>
      <c r="BA97" s="147">
        <v>6484</v>
      </c>
      <c r="BB97" s="147">
        <v>9048</v>
      </c>
      <c r="BC97" s="147">
        <v>25010</v>
      </c>
      <c r="BD97" s="147">
        <v>9647</v>
      </c>
      <c r="BE97" s="147">
        <v>8882</v>
      </c>
      <c r="BF97" s="145">
        <v>29042</v>
      </c>
      <c r="BG97" s="199">
        <v>0</v>
      </c>
      <c r="BH97" s="147">
        <v>113</v>
      </c>
      <c r="BI97" s="147">
        <v>1989</v>
      </c>
      <c r="BJ97" s="147">
        <v>733</v>
      </c>
      <c r="BK97" s="147">
        <v>256</v>
      </c>
      <c r="BL97" s="147">
        <v>39</v>
      </c>
      <c r="BM97" s="147">
        <v>9713</v>
      </c>
      <c r="BN97" s="147">
        <v>4880</v>
      </c>
      <c r="BO97" s="199">
        <v>113</v>
      </c>
      <c r="BP97" s="147">
        <v>4470</v>
      </c>
      <c r="BQ97" s="147">
        <v>3189</v>
      </c>
      <c r="BR97" s="145">
        <v>4744</v>
      </c>
      <c r="BS97" s="199">
        <v>0</v>
      </c>
      <c r="BT97" s="147">
        <v>12575</v>
      </c>
      <c r="BU97" s="147">
        <v>4577</v>
      </c>
      <c r="BV97" s="147">
        <v>11376</v>
      </c>
      <c r="BW97" s="147">
        <v>6966</v>
      </c>
      <c r="BX97" s="147">
        <v>13714</v>
      </c>
      <c r="BY97" s="147">
        <v>5669</v>
      </c>
      <c r="BZ97" s="147">
        <v>10288</v>
      </c>
      <c r="CA97" s="147">
        <v>5079</v>
      </c>
      <c r="CB97" s="145">
        <v>11846</v>
      </c>
      <c r="CC97" s="147">
        <v>10463</v>
      </c>
      <c r="CD97" s="147">
        <v>2188</v>
      </c>
      <c r="CE97" s="147">
        <v>3682</v>
      </c>
      <c r="CF97" s="147">
        <v>1002</v>
      </c>
      <c r="CG97" s="147">
        <v>22295</v>
      </c>
      <c r="CH97" s="147">
        <v>40047</v>
      </c>
      <c r="CI97" s="147">
        <v>13238</v>
      </c>
      <c r="CJ97" s="147">
        <v>77867</v>
      </c>
      <c r="CK97" s="198">
        <v>16050</v>
      </c>
      <c r="CL97" s="163">
        <v>421896</v>
      </c>
    </row>
    <row r="98" spans="1:90">
      <c r="A98" s="93">
        <f>ROWS($A$3:A96)</f>
        <v>94</v>
      </c>
      <c r="B98" s="63" t="s">
        <v>107</v>
      </c>
      <c r="C98" s="245">
        <f>C97</f>
        <v>2001</v>
      </c>
      <c r="D98" s="319" t="s">
        <v>11</v>
      </c>
      <c r="E98" s="322">
        <v>40441</v>
      </c>
      <c r="F98" s="194">
        <v>618865</v>
      </c>
      <c r="G98" s="195">
        <v>149025</v>
      </c>
      <c r="H98" s="195">
        <v>366598</v>
      </c>
      <c r="I98" s="196">
        <v>1009287</v>
      </c>
      <c r="J98" s="348"/>
      <c r="K98" s="197">
        <f>BF98</f>
        <v>150712</v>
      </c>
      <c r="L98" s="147">
        <f>AY98</f>
        <v>42810</v>
      </c>
      <c r="M98" s="147">
        <f>BD98</f>
        <v>45971</v>
      </c>
      <c r="N98" s="147">
        <f>AW98</f>
        <v>57752</v>
      </c>
      <c r="O98" s="147">
        <f>BE98</f>
        <v>42099</v>
      </c>
      <c r="P98" s="147">
        <f>AZ98+BA98</f>
        <v>34324</v>
      </c>
      <c r="Q98" s="147">
        <f>'2010'!AU98</f>
        <v>18437</v>
      </c>
      <c r="R98" s="147">
        <f>AT98+AX98</f>
        <v>31700</v>
      </c>
      <c r="S98" s="147">
        <f>AV98</f>
        <v>14642</v>
      </c>
      <c r="T98" s="147">
        <f t="shared" si="212"/>
        <v>45007</v>
      </c>
      <c r="U98" s="145">
        <f t="shared" si="212"/>
        <v>135411</v>
      </c>
      <c r="V98" s="147">
        <f>BJ98</f>
        <v>2815</v>
      </c>
      <c r="W98" s="147">
        <f>BR98</f>
        <v>22064</v>
      </c>
      <c r="X98" s="147">
        <f>BH98+BI98</f>
        <v>8816</v>
      </c>
      <c r="Y98" s="147">
        <f>BK98+BL98+BN98</f>
        <v>25904</v>
      </c>
      <c r="Z98" s="147">
        <f>BM98</f>
        <v>51750</v>
      </c>
      <c r="AA98" s="147">
        <f>BO98+BQ98</f>
        <v>16216</v>
      </c>
      <c r="AB98" s="145">
        <f>BP98</f>
        <v>21460</v>
      </c>
      <c r="AC98" s="147">
        <f>BX98</f>
        <v>61788</v>
      </c>
      <c r="AD98" s="147">
        <f>BU98</f>
        <v>19448</v>
      </c>
      <c r="AE98" s="147">
        <f>BT98</f>
        <v>55233</v>
      </c>
      <c r="AF98" s="147">
        <f>CA98</f>
        <v>19955</v>
      </c>
      <c r="AG98" s="147">
        <f>BV98</f>
        <v>44544</v>
      </c>
      <c r="AH98" s="147">
        <f>BZ98</f>
        <v>53603</v>
      </c>
      <c r="AI98" s="147">
        <f>BW98</f>
        <v>29404</v>
      </c>
      <c r="AJ98" s="147">
        <f>BY98</f>
        <v>28518</v>
      </c>
      <c r="AK98" s="145">
        <f>CB98</f>
        <v>54105</v>
      </c>
      <c r="AL98" s="147">
        <f>CE98</f>
        <v>19008</v>
      </c>
      <c r="AM98" s="147">
        <f>CH98</f>
        <v>219991</v>
      </c>
      <c r="AN98" s="147">
        <f>CJ98</f>
        <v>437632</v>
      </c>
      <c r="AO98" s="147">
        <f t="shared" si="213"/>
        <v>51966</v>
      </c>
      <c r="AP98" s="147">
        <f t="shared" si="213"/>
        <v>9443</v>
      </c>
      <c r="AQ98" s="147">
        <f>CK98</f>
        <v>80123</v>
      </c>
      <c r="AR98" s="147">
        <f>CI98</f>
        <v>71575</v>
      </c>
      <c r="AS98" s="198">
        <f>CF98+CG98</f>
        <v>119549</v>
      </c>
      <c r="AT98" s="147">
        <v>2163</v>
      </c>
      <c r="AU98" s="147">
        <v>18437</v>
      </c>
      <c r="AV98" s="147">
        <v>14642</v>
      </c>
      <c r="AW98" s="147">
        <v>57752</v>
      </c>
      <c r="AX98" s="147">
        <v>29537</v>
      </c>
      <c r="AY98" s="147">
        <v>42810</v>
      </c>
      <c r="AZ98" s="147">
        <v>832</v>
      </c>
      <c r="BA98" s="147">
        <v>33492</v>
      </c>
      <c r="BB98" s="147">
        <v>45007</v>
      </c>
      <c r="BC98" s="147">
        <v>135411</v>
      </c>
      <c r="BD98" s="147">
        <v>45971</v>
      </c>
      <c r="BE98" s="147">
        <v>42099</v>
      </c>
      <c r="BF98" s="145">
        <v>150712</v>
      </c>
      <c r="BG98" s="199">
        <v>0</v>
      </c>
      <c r="BH98" s="147">
        <v>500</v>
      </c>
      <c r="BI98" s="147">
        <v>8316</v>
      </c>
      <c r="BJ98" s="147">
        <v>2815</v>
      </c>
      <c r="BK98" s="147">
        <v>1657</v>
      </c>
      <c r="BL98" s="147">
        <v>163</v>
      </c>
      <c r="BM98" s="147">
        <v>51750</v>
      </c>
      <c r="BN98" s="147">
        <v>24084</v>
      </c>
      <c r="BO98" s="199">
        <v>477</v>
      </c>
      <c r="BP98" s="147">
        <v>21460</v>
      </c>
      <c r="BQ98" s="147">
        <v>15739</v>
      </c>
      <c r="BR98" s="145">
        <v>22064</v>
      </c>
      <c r="BS98" s="199">
        <v>0</v>
      </c>
      <c r="BT98" s="147">
        <v>55233</v>
      </c>
      <c r="BU98" s="147">
        <v>19448</v>
      </c>
      <c r="BV98" s="147">
        <v>44544</v>
      </c>
      <c r="BW98" s="147">
        <v>29404</v>
      </c>
      <c r="BX98" s="147">
        <v>61788</v>
      </c>
      <c r="BY98" s="147">
        <v>28518</v>
      </c>
      <c r="BZ98" s="147">
        <v>53603</v>
      </c>
      <c r="CA98" s="147">
        <v>19955</v>
      </c>
      <c r="CB98" s="145">
        <v>54105</v>
      </c>
      <c r="CC98" s="147">
        <v>51966</v>
      </c>
      <c r="CD98" s="147">
        <v>9443</v>
      </c>
      <c r="CE98" s="147">
        <v>19008</v>
      </c>
      <c r="CF98" s="147">
        <v>6155</v>
      </c>
      <c r="CG98" s="147">
        <v>113394</v>
      </c>
      <c r="CH98" s="147">
        <v>219991</v>
      </c>
      <c r="CI98" s="147">
        <v>71575</v>
      </c>
      <c r="CJ98" s="147">
        <v>437632</v>
      </c>
      <c r="CK98" s="198">
        <v>80123</v>
      </c>
      <c r="CL98" s="163">
        <v>2143775</v>
      </c>
    </row>
    <row r="99" spans="1:90">
      <c r="A99" s="93">
        <f>ROWS($A$3:A97)</f>
        <v>95</v>
      </c>
      <c r="B99" s="63"/>
      <c r="C99" s="243"/>
      <c r="D99" s="319"/>
      <c r="E99" s="320"/>
      <c r="F99" s="194" t="s">
        <v>245</v>
      </c>
      <c r="G99" s="195" t="s">
        <v>245</v>
      </c>
      <c r="H99" s="195" t="s">
        <v>245</v>
      </c>
      <c r="I99" s="196" t="s">
        <v>245</v>
      </c>
      <c r="J99" s="348"/>
      <c r="K99" s="197" t="s">
        <v>245</v>
      </c>
      <c r="L99" s="147" t="s">
        <v>245</v>
      </c>
      <c r="M99" s="147" t="s">
        <v>245</v>
      </c>
      <c r="N99" s="147" t="s">
        <v>245</v>
      </c>
      <c r="O99" s="147" t="s">
        <v>245</v>
      </c>
      <c r="P99" s="147" t="s">
        <v>229</v>
      </c>
      <c r="Q99" s="147" t="s">
        <v>245</v>
      </c>
      <c r="R99" s="147" t="s">
        <v>230</v>
      </c>
      <c r="S99" s="147" t="s">
        <v>245</v>
      </c>
      <c r="T99" s="147" t="s">
        <v>245</v>
      </c>
      <c r="U99" s="145" t="s">
        <v>245</v>
      </c>
      <c r="V99" s="147" t="s">
        <v>231</v>
      </c>
      <c r="W99" s="147" t="s">
        <v>245</v>
      </c>
      <c r="X99" s="147" t="s">
        <v>232</v>
      </c>
      <c r="Y99" s="147" t="s">
        <v>233</v>
      </c>
      <c r="Z99" s="147" t="s">
        <v>245</v>
      </c>
      <c r="AA99" s="147" t="s">
        <v>234</v>
      </c>
      <c r="AB99" s="145" t="s">
        <v>245</v>
      </c>
      <c r="AC99" s="147" t="s">
        <v>245</v>
      </c>
      <c r="AD99" s="147" t="s">
        <v>245</v>
      </c>
      <c r="AE99" s="147" t="s">
        <v>235</v>
      </c>
      <c r="AF99" s="147" t="s">
        <v>245</v>
      </c>
      <c r="AG99" s="147" t="s">
        <v>245</v>
      </c>
      <c r="AH99" s="147" t="s">
        <v>245</v>
      </c>
      <c r="AI99" s="147" t="s">
        <v>245</v>
      </c>
      <c r="AJ99" s="147" t="s">
        <v>245</v>
      </c>
      <c r="AK99" s="145" t="s">
        <v>245</v>
      </c>
      <c r="AL99" s="147" t="s">
        <v>245</v>
      </c>
      <c r="AM99" s="147" t="s">
        <v>245</v>
      </c>
      <c r="AN99" s="147" t="s">
        <v>245</v>
      </c>
      <c r="AO99" s="147" t="s">
        <v>245</v>
      </c>
      <c r="AP99" s="147" t="s">
        <v>245</v>
      </c>
      <c r="AQ99" s="147" t="s">
        <v>245</v>
      </c>
      <c r="AR99" s="147" t="s">
        <v>245</v>
      </c>
      <c r="AS99" s="198" t="s">
        <v>236</v>
      </c>
      <c r="AT99" s="147" t="s">
        <v>245</v>
      </c>
      <c r="AU99" s="147" t="s">
        <v>245</v>
      </c>
      <c r="AV99" s="147" t="s">
        <v>245</v>
      </c>
      <c r="AW99" s="147" t="s">
        <v>245</v>
      </c>
      <c r="AX99" s="147" t="s">
        <v>245</v>
      </c>
      <c r="AY99" s="147" t="s">
        <v>245</v>
      </c>
      <c r="AZ99" s="147" t="s">
        <v>245</v>
      </c>
      <c r="BA99" s="147" t="s">
        <v>245</v>
      </c>
      <c r="BB99" s="147" t="s">
        <v>245</v>
      </c>
      <c r="BC99" s="147" t="s">
        <v>245</v>
      </c>
      <c r="BD99" s="147" t="s">
        <v>245</v>
      </c>
      <c r="BE99" s="147" t="s">
        <v>245</v>
      </c>
      <c r="BF99" s="145" t="s">
        <v>245</v>
      </c>
      <c r="BG99" s="199" t="s">
        <v>245</v>
      </c>
      <c r="BH99" s="147" t="s">
        <v>245</v>
      </c>
      <c r="BI99" s="147" t="s">
        <v>245</v>
      </c>
      <c r="BJ99" s="147" t="s">
        <v>245</v>
      </c>
      <c r="BK99" s="147" t="s">
        <v>245</v>
      </c>
      <c r="BL99" s="147" t="s">
        <v>245</v>
      </c>
      <c r="BM99" s="147" t="s">
        <v>245</v>
      </c>
      <c r="BN99" s="147" t="s">
        <v>245</v>
      </c>
      <c r="BO99" s="199" t="s">
        <v>245</v>
      </c>
      <c r="BP99" s="147" t="s">
        <v>245</v>
      </c>
      <c r="BQ99" s="147" t="s">
        <v>245</v>
      </c>
      <c r="BR99" s="145" t="s">
        <v>245</v>
      </c>
      <c r="BS99" s="199" t="s">
        <v>245</v>
      </c>
      <c r="BT99" s="147" t="s">
        <v>245</v>
      </c>
      <c r="BU99" s="147" t="s">
        <v>245</v>
      </c>
      <c r="BV99" s="147" t="s">
        <v>245</v>
      </c>
      <c r="BW99" s="147" t="s">
        <v>245</v>
      </c>
      <c r="BX99" s="147" t="s">
        <v>245</v>
      </c>
      <c r="BY99" s="147" t="s">
        <v>245</v>
      </c>
      <c r="BZ99" s="147" t="s">
        <v>245</v>
      </c>
      <c r="CA99" s="147" t="s">
        <v>245</v>
      </c>
      <c r="CB99" s="145" t="s">
        <v>245</v>
      </c>
      <c r="CC99" s="147" t="s">
        <v>245</v>
      </c>
      <c r="CD99" s="147" t="s">
        <v>245</v>
      </c>
      <c r="CE99" s="147" t="s">
        <v>245</v>
      </c>
      <c r="CF99" s="147" t="s">
        <v>245</v>
      </c>
      <c r="CG99" s="147" t="s">
        <v>245</v>
      </c>
      <c r="CH99" s="147" t="s">
        <v>245</v>
      </c>
      <c r="CI99" s="147" t="s">
        <v>245</v>
      </c>
      <c r="CJ99" s="147" t="s">
        <v>245</v>
      </c>
      <c r="CK99" s="198" t="s">
        <v>245</v>
      </c>
      <c r="CL99" s="163" t="s">
        <v>245</v>
      </c>
    </row>
    <row r="100" spans="1:90">
      <c r="A100" s="93">
        <f>ROWS($A$3:A98)</f>
        <v>96</v>
      </c>
      <c r="B100" s="63" t="s">
        <v>275</v>
      </c>
      <c r="C100" s="243">
        <f>C86</f>
        <v>2010</v>
      </c>
      <c r="D100" s="319" t="s">
        <v>14</v>
      </c>
      <c r="E100" s="322">
        <v>40652</v>
      </c>
      <c r="F100" s="194">
        <v>1657</v>
      </c>
      <c r="G100" s="195">
        <v>433</v>
      </c>
      <c r="H100" s="195">
        <v>749</v>
      </c>
      <c r="I100" s="196">
        <v>1460</v>
      </c>
      <c r="J100" s="348"/>
      <c r="K100" s="197">
        <f>BF100</f>
        <v>231</v>
      </c>
      <c r="L100" s="147">
        <f>AY100</f>
        <v>65</v>
      </c>
      <c r="M100" s="147">
        <f>BD100</f>
        <v>202</v>
      </c>
      <c r="N100" s="147">
        <f>AW100</f>
        <v>106</v>
      </c>
      <c r="O100" s="147">
        <f>BE100</f>
        <v>105</v>
      </c>
      <c r="P100" s="147">
        <f>'2009'!AZ101+'2009'!BA101</f>
        <v>658</v>
      </c>
      <c r="Q100" s="147">
        <f>'2009'!AU101</f>
        <v>260</v>
      </c>
      <c r="R100" s="147">
        <f>AT100+AX100</f>
        <v>137</v>
      </c>
      <c r="S100" s="147">
        <f>AV100</f>
        <v>68</v>
      </c>
      <c r="T100" s="147">
        <f>BB100</f>
        <v>159</v>
      </c>
      <c r="U100" s="145">
        <f>BC100</f>
        <v>327</v>
      </c>
      <c r="V100" s="147">
        <f>BG100+BJ100</f>
        <v>19</v>
      </c>
      <c r="W100" s="147">
        <f>BR100</f>
        <v>30</v>
      </c>
      <c r="X100" s="147">
        <f>BH100+BI100</f>
        <v>97</v>
      </c>
      <c r="Y100" s="147">
        <f>BK100+BL100+BN100</f>
        <v>35</v>
      </c>
      <c r="Z100" s="147">
        <f>BM100</f>
        <v>174</v>
      </c>
      <c r="AA100" s="147">
        <f>BO100+BQ100</f>
        <v>58</v>
      </c>
      <c r="AB100" s="145">
        <f>BP100</f>
        <v>21</v>
      </c>
      <c r="AC100" s="147">
        <f>BX100</f>
        <v>87</v>
      </c>
      <c r="AD100" s="147">
        <f>BU100</f>
        <v>106</v>
      </c>
      <c r="AE100" s="147">
        <f>BS100+BT100</f>
        <v>95</v>
      </c>
      <c r="AF100" s="147">
        <f>CA100</f>
        <v>102</v>
      </c>
      <c r="AG100" s="147">
        <f>BV100</f>
        <v>101</v>
      </c>
      <c r="AH100" s="147">
        <f>BZ100</f>
        <v>72</v>
      </c>
      <c r="AI100" s="147">
        <f>BW100</f>
        <v>75</v>
      </c>
      <c r="AJ100" s="147">
        <f>BY100</f>
        <v>70</v>
      </c>
      <c r="AK100" s="145">
        <f>CB100</f>
        <v>41</v>
      </c>
      <c r="AL100" s="147">
        <f>CE100</f>
        <v>94</v>
      </c>
      <c r="AM100" s="147">
        <f>CH100</f>
        <v>342</v>
      </c>
      <c r="AN100" s="147">
        <f>CJ100</f>
        <v>297</v>
      </c>
      <c r="AO100" s="147">
        <f>CC100</f>
        <v>127</v>
      </c>
      <c r="AP100" s="147">
        <f>CD100</f>
        <v>39</v>
      </c>
      <c r="AQ100" s="147">
        <f>CK100</f>
        <v>213</v>
      </c>
      <c r="AR100" s="147">
        <f>CI100</f>
        <v>89</v>
      </c>
      <c r="AS100" s="198">
        <f>CF100+CG100</f>
        <v>259</v>
      </c>
      <c r="AT100" s="147">
        <v>6</v>
      </c>
      <c r="AU100" s="147">
        <v>64</v>
      </c>
      <c r="AV100" s="147">
        <v>68</v>
      </c>
      <c r="AW100" s="147">
        <v>106</v>
      </c>
      <c r="AX100" s="147">
        <v>131</v>
      </c>
      <c r="AY100" s="147">
        <v>65</v>
      </c>
      <c r="AZ100" s="147">
        <v>19</v>
      </c>
      <c r="BA100" s="147">
        <v>174</v>
      </c>
      <c r="BB100" s="147">
        <v>159</v>
      </c>
      <c r="BC100" s="147">
        <v>327</v>
      </c>
      <c r="BD100" s="147">
        <v>202</v>
      </c>
      <c r="BE100" s="147">
        <v>105</v>
      </c>
      <c r="BF100" s="145">
        <v>231</v>
      </c>
      <c r="BG100" s="199">
        <v>3</v>
      </c>
      <c r="BH100" s="147">
        <v>2</v>
      </c>
      <c r="BI100" s="147">
        <v>95</v>
      </c>
      <c r="BJ100" s="147">
        <v>16</v>
      </c>
      <c r="BK100" s="147">
        <v>6</v>
      </c>
      <c r="BL100" s="147">
        <v>1</v>
      </c>
      <c r="BM100" s="147">
        <v>174</v>
      </c>
      <c r="BN100" s="147">
        <v>28</v>
      </c>
      <c r="BO100" s="199">
        <v>2</v>
      </c>
      <c r="BP100" s="147">
        <v>21</v>
      </c>
      <c r="BQ100" s="147">
        <v>56</v>
      </c>
      <c r="BR100" s="145">
        <v>30</v>
      </c>
      <c r="BS100" s="199">
        <v>9</v>
      </c>
      <c r="BT100" s="147">
        <v>86</v>
      </c>
      <c r="BU100" s="147">
        <v>106</v>
      </c>
      <c r="BV100" s="147">
        <v>101</v>
      </c>
      <c r="BW100" s="147">
        <v>75</v>
      </c>
      <c r="BX100" s="147">
        <v>87</v>
      </c>
      <c r="BY100" s="147">
        <v>70</v>
      </c>
      <c r="BZ100" s="147">
        <v>72</v>
      </c>
      <c r="CA100" s="147">
        <v>102</v>
      </c>
      <c r="CB100" s="145">
        <v>41</v>
      </c>
      <c r="CC100" s="147">
        <v>127</v>
      </c>
      <c r="CD100" s="147">
        <v>39</v>
      </c>
      <c r="CE100" s="147">
        <v>94</v>
      </c>
      <c r="CF100" s="147">
        <v>8</v>
      </c>
      <c r="CG100" s="147">
        <v>251</v>
      </c>
      <c r="CH100" s="147">
        <v>342</v>
      </c>
      <c r="CI100" s="147">
        <v>89</v>
      </c>
      <c r="CJ100" s="147">
        <v>297</v>
      </c>
      <c r="CK100" s="198">
        <v>213</v>
      </c>
      <c r="CL100" s="163">
        <v>4299</v>
      </c>
    </row>
    <row r="101" spans="1:90">
      <c r="A101" s="93">
        <f>ROWS($A$3:A99)</f>
        <v>97</v>
      </c>
      <c r="B101" s="63"/>
      <c r="C101" s="243"/>
      <c r="D101" s="319"/>
      <c r="E101" s="320"/>
      <c r="F101" s="194"/>
      <c r="G101" s="195"/>
      <c r="H101" s="195"/>
      <c r="I101" s="196"/>
      <c r="J101" s="348"/>
      <c r="K101" s="197">
        <f t="shared" ref="K101:K106" si="214">BF101</f>
        <v>0</v>
      </c>
      <c r="L101" s="147">
        <f t="shared" ref="L101:L106" si="215">AY101</f>
        <v>0</v>
      </c>
      <c r="M101" s="147">
        <f t="shared" ref="M101:M106" si="216">BD101</f>
        <v>0</v>
      </c>
      <c r="N101" s="147">
        <f t="shared" ref="N101:N106" si="217">AW101</f>
        <v>0</v>
      </c>
      <c r="O101" s="147">
        <f t="shared" ref="O101:O106" si="218">BE101</f>
        <v>0</v>
      </c>
      <c r="P101" s="147">
        <f t="shared" ref="P101:P106" si="219">AZ101+BA101</f>
        <v>0</v>
      </c>
      <c r="Q101" s="147">
        <f>'2010'!AU101</f>
        <v>0</v>
      </c>
      <c r="R101" s="147">
        <f t="shared" ref="R101:R106" si="220">AT101+AX101</f>
        <v>0</v>
      </c>
      <c r="S101" s="147">
        <f t="shared" ref="S101:S106" si="221">AV101</f>
        <v>0</v>
      </c>
      <c r="T101" s="147">
        <f t="shared" ref="T101:U106" si="222">BB101</f>
        <v>0</v>
      </c>
      <c r="U101" s="145">
        <f t="shared" si="222"/>
        <v>0</v>
      </c>
      <c r="V101" s="147">
        <f t="shared" ref="V101:V106" si="223">BG101+BJ101</f>
        <v>0</v>
      </c>
      <c r="W101" s="147">
        <f t="shared" ref="W101:W106" si="224">BR101</f>
        <v>0</v>
      </c>
      <c r="X101" s="147">
        <f t="shared" ref="X101:X106" si="225">BH101+BI101</f>
        <v>0</v>
      </c>
      <c r="Y101" s="147">
        <f t="shared" ref="Y101:Y106" si="226">BK101+BL101+BN101</f>
        <v>0</v>
      </c>
      <c r="Z101" s="147">
        <f t="shared" ref="Z101:Z106" si="227">BM101</f>
        <v>0</v>
      </c>
      <c r="AA101" s="147">
        <f t="shared" ref="AA101:AA106" si="228">BO101+BQ101</f>
        <v>0</v>
      </c>
      <c r="AB101" s="145">
        <f t="shared" ref="AB101:AB106" si="229">BP101</f>
        <v>0</v>
      </c>
      <c r="AC101" s="147">
        <f t="shared" ref="AC101:AC106" si="230">BX101</f>
        <v>0</v>
      </c>
      <c r="AD101" s="147">
        <f t="shared" ref="AD101:AD106" si="231">BU101</f>
        <v>0</v>
      </c>
      <c r="AE101" s="147">
        <f t="shared" ref="AE101:AE106" si="232">BS101+BT101</f>
        <v>0</v>
      </c>
      <c r="AF101" s="147">
        <f t="shared" ref="AF101:AF106" si="233">CA101</f>
        <v>0</v>
      </c>
      <c r="AG101" s="147">
        <f t="shared" ref="AG101:AG106" si="234">BV101</f>
        <v>0</v>
      </c>
      <c r="AH101" s="147">
        <f t="shared" ref="AH101:AH106" si="235">BZ101</f>
        <v>0</v>
      </c>
      <c r="AI101" s="147">
        <f t="shared" ref="AI101:AI106" si="236">BW101</f>
        <v>0</v>
      </c>
      <c r="AJ101" s="147">
        <f t="shared" ref="AJ101:AJ106" si="237">BY101</f>
        <v>0</v>
      </c>
      <c r="AK101" s="145">
        <f t="shared" ref="AK101:AK106" si="238">CB101</f>
        <v>0</v>
      </c>
      <c r="AL101" s="147">
        <f t="shared" ref="AL101:AL106" si="239">CE101</f>
        <v>0</v>
      </c>
      <c r="AM101" s="147">
        <f t="shared" ref="AM101:AM106" si="240">CH101</f>
        <v>0</v>
      </c>
      <c r="AN101" s="147">
        <f t="shared" ref="AN101:AN106" si="241">CJ101</f>
        <v>0</v>
      </c>
      <c r="AO101" s="147">
        <f t="shared" ref="AO101:AP106" si="242">CC101</f>
        <v>0</v>
      </c>
      <c r="AP101" s="147">
        <f t="shared" si="242"/>
        <v>0</v>
      </c>
      <c r="AQ101" s="147">
        <f t="shared" ref="AQ101:AQ106" si="243">CK101</f>
        <v>0</v>
      </c>
      <c r="AR101" s="147">
        <f t="shared" ref="AR101:AR106" si="244">CI101</f>
        <v>0</v>
      </c>
      <c r="AS101" s="198">
        <f t="shared" ref="AS101:AS106" si="245">CF101+CG101</f>
        <v>0</v>
      </c>
      <c r="AT101" s="147"/>
      <c r="AU101" s="147"/>
      <c r="AV101" s="147"/>
      <c r="AW101" s="147"/>
      <c r="AX101" s="147"/>
      <c r="AY101" s="147"/>
      <c r="AZ101" s="147"/>
      <c r="BA101" s="147"/>
      <c r="BB101" s="147"/>
      <c r="BC101" s="147"/>
      <c r="BD101" s="147"/>
      <c r="BE101" s="147"/>
      <c r="BF101" s="145"/>
      <c r="BG101" s="199"/>
      <c r="BH101" s="147"/>
      <c r="BI101" s="147"/>
      <c r="BJ101" s="147"/>
      <c r="BK101" s="147"/>
      <c r="BL101" s="147"/>
      <c r="BM101" s="147"/>
      <c r="BN101" s="147"/>
      <c r="BO101" s="199"/>
      <c r="BP101" s="147"/>
      <c r="BQ101" s="147"/>
      <c r="BR101" s="145"/>
      <c r="BS101" s="199"/>
      <c r="BT101" s="147"/>
      <c r="BU101" s="147"/>
      <c r="BV101" s="147"/>
      <c r="BW101" s="147"/>
      <c r="BX101" s="147"/>
      <c r="BY101" s="147"/>
      <c r="BZ101" s="147"/>
      <c r="CA101" s="147"/>
      <c r="CB101" s="145"/>
      <c r="CC101" s="147"/>
      <c r="CD101" s="147"/>
      <c r="CE101" s="147"/>
      <c r="CF101" s="147"/>
      <c r="CG101" s="147"/>
      <c r="CH101" s="147"/>
      <c r="CI101" s="147"/>
      <c r="CJ101" s="147"/>
      <c r="CK101" s="198"/>
      <c r="CL101" s="163"/>
    </row>
    <row r="102" spans="1:90">
      <c r="A102" s="93">
        <f>ROWS($A$3:A100)</f>
        <v>98</v>
      </c>
      <c r="B102" s="63"/>
      <c r="C102" s="243"/>
      <c r="D102" s="319"/>
      <c r="E102" s="320"/>
      <c r="F102" s="194"/>
      <c r="G102" s="195"/>
      <c r="H102" s="195"/>
      <c r="I102" s="196"/>
      <c r="J102" s="348"/>
      <c r="K102" s="197">
        <f t="shared" si="214"/>
        <v>0</v>
      </c>
      <c r="L102" s="147">
        <f t="shared" si="215"/>
        <v>0</v>
      </c>
      <c r="M102" s="147">
        <f t="shared" si="216"/>
        <v>0</v>
      </c>
      <c r="N102" s="147">
        <f t="shared" si="217"/>
        <v>0</v>
      </c>
      <c r="O102" s="147">
        <f t="shared" si="218"/>
        <v>0</v>
      </c>
      <c r="P102" s="147">
        <f t="shared" si="219"/>
        <v>0</v>
      </c>
      <c r="Q102" s="147">
        <f>'2010'!AU102</f>
        <v>0</v>
      </c>
      <c r="R102" s="147">
        <f t="shared" si="220"/>
        <v>0</v>
      </c>
      <c r="S102" s="147">
        <f t="shared" si="221"/>
        <v>0</v>
      </c>
      <c r="T102" s="147">
        <f t="shared" si="222"/>
        <v>0</v>
      </c>
      <c r="U102" s="145">
        <f t="shared" si="222"/>
        <v>0</v>
      </c>
      <c r="V102" s="147">
        <f t="shared" si="223"/>
        <v>0</v>
      </c>
      <c r="W102" s="147">
        <f t="shared" si="224"/>
        <v>0</v>
      </c>
      <c r="X102" s="147">
        <f t="shared" si="225"/>
        <v>0</v>
      </c>
      <c r="Y102" s="147">
        <f t="shared" si="226"/>
        <v>0</v>
      </c>
      <c r="Z102" s="147">
        <f t="shared" si="227"/>
        <v>0</v>
      </c>
      <c r="AA102" s="147">
        <f t="shared" si="228"/>
        <v>0</v>
      </c>
      <c r="AB102" s="145">
        <f t="shared" si="229"/>
        <v>0</v>
      </c>
      <c r="AC102" s="147">
        <f t="shared" si="230"/>
        <v>0</v>
      </c>
      <c r="AD102" s="147">
        <f t="shared" si="231"/>
        <v>0</v>
      </c>
      <c r="AE102" s="147">
        <f t="shared" si="232"/>
        <v>0</v>
      </c>
      <c r="AF102" s="147">
        <f t="shared" si="233"/>
        <v>0</v>
      </c>
      <c r="AG102" s="147">
        <f t="shared" si="234"/>
        <v>0</v>
      </c>
      <c r="AH102" s="147">
        <f t="shared" si="235"/>
        <v>0</v>
      </c>
      <c r="AI102" s="147">
        <f t="shared" si="236"/>
        <v>0</v>
      </c>
      <c r="AJ102" s="147">
        <f t="shared" si="237"/>
        <v>0</v>
      </c>
      <c r="AK102" s="145">
        <f t="shared" si="238"/>
        <v>0</v>
      </c>
      <c r="AL102" s="147">
        <f t="shared" si="239"/>
        <v>0</v>
      </c>
      <c r="AM102" s="147">
        <f t="shared" si="240"/>
        <v>0</v>
      </c>
      <c r="AN102" s="147">
        <f t="shared" si="241"/>
        <v>0</v>
      </c>
      <c r="AO102" s="147">
        <f t="shared" si="242"/>
        <v>0</v>
      </c>
      <c r="AP102" s="147">
        <f t="shared" si="242"/>
        <v>0</v>
      </c>
      <c r="AQ102" s="147">
        <f t="shared" si="243"/>
        <v>0</v>
      </c>
      <c r="AR102" s="147">
        <f t="shared" si="244"/>
        <v>0</v>
      </c>
      <c r="AS102" s="198">
        <f t="shared" si="245"/>
        <v>0</v>
      </c>
      <c r="AT102" s="147"/>
      <c r="AU102" s="147"/>
      <c r="AV102" s="147"/>
      <c r="AW102" s="147"/>
      <c r="AX102" s="147"/>
      <c r="AY102" s="147"/>
      <c r="AZ102" s="147"/>
      <c r="BA102" s="147"/>
      <c r="BB102" s="147"/>
      <c r="BC102" s="147"/>
      <c r="BD102" s="147"/>
      <c r="BE102" s="147"/>
      <c r="BF102" s="145"/>
      <c r="BG102" s="199"/>
      <c r="BH102" s="147"/>
      <c r="BI102" s="147"/>
      <c r="BJ102" s="147"/>
      <c r="BK102" s="147"/>
      <c r="BL102" s="147"/>
      <c r="BM102" s="147"/>
      <c r="BN102" s="147"/>
      <c r="BO102" s="199"/>
      <c r="BP102" s="147"/>
      <c r="BQ102" s="147"/>
      <c r="BR102" s="145"/>
      <c r="BS102" s="199"/>
      <c r="BT102" s="147"/>
      <c r="BU102" s="147"/>
      <c r="BV102" s="147"/>
      <c r="BW102" s="147"/>
      <c r="BX102" s="147"/>
      <c r="BY102" s="147"/>
      <c r="BZ102" s="147"/>
      <c r="CA102" s="147"/>
      <c r="CB102" s="145"/>
      <c r="CC102" s="147"/>
      <c r="CD102" s="147"/>
      <c r="CE102" s="147"/>
      <c r="CF102" s="147"/>
      <c r="CG102" s="311"/>
      <c r="CH102" s="147"/>
      <c r="CI102" s="147"/>
      <c r="CJ102" s="147"/>
      <c r="CK102" s="198"/>
      <c r="CL102" s="163"/>
    </row>
    <row r="103" spans="1:90">
      <c r="A103" s="93">
        <f>ROWS($A$3:A101)</f>
        <v>99</v>
      </c>
      <c r="B103" s="63"/>
      <c r="C103" s="243"/>
      <c r="D103" s="319"/>
      <c r="E103" s="320"/>
      <c r="F103" s="194"/>
      <c r="G103" s="195"/>
      <c r="H103" s="195"/>
      <c r="I103" s="196"/>
      <c r="J103" s="348"/>
      <c r="K103" s="197">
        <f t="shared" si="214"/>
        <v>0</v>
      </c>
      <c r="L103" s="147">
        <f t="shared" si="215"/>
        <v>0</v>
      </c>
      <c r="M103" s="147">
        <f t="shared" si="216"/>
        <v>0</v>
      </c>
      <c r="N103" s="147">
        <f t="shared" si="217"/>
        <v>0</v>
      </c>
      <c r="O103" s="147">
        <f t="shared" si="218"/>
        <v>0</v>
      </c>
      <c r="P103" s="147">
        <f t="shared" si="219"/>
        <v>0</v>
      </c>
      <c r="Q103" s="147">
        <f>'2010'!AU103</f>
        <v>0</v>
      </c>
      <c r="R103" s="147">
        <f t="shared" si="220"/>
        <v>0</v>
      </c>
      <c r="S103" s="147">
        <f t="shared" si="221"/>
        <v>0</v>
      </c>
      <c r="T103" s="147">
        <f t="shared" si="222"/>
        <v>0</v>
      </c>
      <c r="U103" s="145">
        <f t="shared" si="222"/>
        <v>0</v>
      </c>
      <c r="V103" s="147">
        <f t="shared" si="223"/>
        <v>0</v>
      </c>
      <c r="W103" s="147">
        <f t="shared" si="224"/>
        <v>0</v>
      </c>
      <c r="X103" s="147">
        <f t="shared" si="225"/>
        <v>0</v>
      </c>
      <c r="Y103" s="147">
        <f t="shared" si="226"/>
        <v>0</v>
      </c>
      <c r="Z103" s="147">
        <f t="shared" si="227"/>
        <v>0</v>
      </c>
      <c r="AA103" s="147">
        <f t="shared" si="228"/>
        <v>0</v>
      </c>
      <c r="AB103" s="145">
        <f t="shared" si="229"/>
        <v>0</v>
      </c>
      <c r="AC103" s="147">
        <f t="shared" si="230"/>
        <v>0</v>
      </c>
      <c r="AD103" s="147">
        <f t="shared" si="231"/>
        <v>0</v>
      </c>
      <c r="AE103" s="147">
        <f t="shared" si="232"/>
        <v>0</v>
      </c>
      <c r="AF103" s="147">
        <f t="shared" si="233"/>
        <v>0</v>
      </c>
      <c r="AG103" s="147">
        <f t="shared" si="234"/>
        <v>0</v>
      </c>
      <c r="AH103" s="147">
        <f t="shared" si="235"/>
        <v>0</v>
      </c>
      <c r="AI103" s="147">
        <f t="shared" si="236"/>
        <v>0</v>
      </c>
      <c r="AJ103" s="147">
        <f t="shared" si="237"/>
        <v>0</v>
      </c>
      <c r="AK103" s="145">
        <f t="shared" si="238"/>
        <v>0</v>
      </c>
      <c r="AL103" s="147">
        <f t="shared" si="239"/>
        <v>0</v>
      </c>
      <c r="AM103" s="147">
        <f t="shared" si="240"/>
        <v>0</v>
      </c>
      <c r="AN103" s="147">
        <f t="shared" si="241"/>
        <v>0</v>
      </c>
      <c r="AO103" s="147">
        <f t="shared" si="242"/>
        <v>0</v>
      </c>
      <c r="AP103" s="147">
        <f t="shared" si="242"/>
        <v>0</v>
      </c>
      <c r="AQ103" s="147">
        <f t="shared" si="243"/>
        <v>0</v>
      </c>
      <c r="AR103" s="147">
        <f t="shared" si="244"/>
        <v>0</v>
      </c>
      <c r="AS103" s="198">
        <f t="shared" si="245"/>
        <v>0</v>
      </c>
      <c r="AT103" s="147"/>
      <c r="AU103" s="147"/>
      <c r="AV103" s="147"/>
      <c r="AW103" s="147"/>
      <c r="AX103" s="147"/>
      <c r="AY103" s="147"/>
      <c r="AZ103" s="147"/>
      <c r="BA103" s="147"/>
      <c r="BB103" s="147"/>
      <c r="BC103" s="147"/>
      <c r="BD103" s="147"/>
      <c r="BE103" s="147"/>
      <c r="BF103" s="145"/>
      <c r="BG103" s="199"/>
      <c r="BH103" s="147"/>
      <c r="BI103" s="147"/>
      <c r="BJ103" s="147"/>
      <c r="BK103" s="147"/>
      <c r="BL103" s="147"/>
      <c r="BM103" s="147"/>
      <c r="BN103" s="147"/>
      <c r="BO103" s="199"/>
      <c r="BP103" s="147"/>
      <c r="BQ103" s="147"/>
      <c r="BR103" s="145"/>
      <c r="BS103" s="199"/>
      <c r="BT103" s="147"/>
      <c r="BU103" s="147"/>
      <c r="BV103" s="147"/>
      <c r="BW103" s="147"/>
      <c r="BX103" s="147"/>
      <c r="BY103" s="147"/>
      <c r="BZ103" s="147"/>
      <c r="CA103" s="147"/>
      <c r="CB103" s="145"/>
      <c r="CC103" s="147"/>
      <c r="CD103" s="147"/>
      <c r="CE103" s="147"/>
      <c r="CF103" s="147"/>
      <c r="CG103" s="147"/>
      <c r="CH103" s="147"/>
      <c r="CI103" s="147"/>
      <c r="CJ103" s="147"/>
      <c r="CK103" s="198"/>
      <c r="CL103" s="163"/>
    </row>
    <row r="104" spans="1:90">
      <c r="A104" s="93">
        <f>ROWS($A$3:A102)</f>
        <v>100</v>
      </c>
      <c r="B104" s="63"/>
      <c r="C104" s="243"/>
      <c r="D104" s="319"/>
      <c r="E104" s="320"/>
      <c r="F104" s="194"/>
      <c r="G104" s="195"/>
      <c r="H104" s="195"/>
      <c r="I104" s="196"/>
      <c r="J104" s="348"/>
      <c r="K104" s="197">
        <f t="shared" si="214"/>
        <v>0</v>
      </c>
      <c r="L104" s="147">
        <f t="shared" si="215"/>
        <v>0</v>
      </c>
      <c r="M104" s="147">
        <f t="shared" si="216"/>
        <v>0</v>
      </c>
      <c r="N104" s="147">
        <f t="shared" si="217"/>
        <v>0</v>
      </c>
      <c r="O104" s="147">
        <f t="shared" si="218"/>
        <v>0</v>
      </c>
      <c r="P104" s="147">
        <f t="shared" si="219"/>
        <v>0</v>
      </c>
      <c r="Q104" s="147">
        <f>'2010'!AU104</f>
        <v>0</v>
      </c>
      <c r="R104" s="147">
        <f t="shared" si="220"/>
        <v>0</v>
      </c>
      <c r="S104" s="147">
        <f t="shared" si="221"/>
        <v>0</v>
      </c>
      <c r="T104" s="147">
        <f t="shared" si="222"/>
        <v>0</v>
      </c>
      <c r="U104" s="145">
        <f t="shared" si="222"/>
        <v>0</v>
      </c>
      <c r="V104" s="147">
        <f t="shared" si="223"/>
        <v>0</v>
      </c>
      <c r="W104" s="147">
        <f t="shared" si="224"/>
        <v>0</v>
      </c>
      <c r="X104" s="147">
        <f t="shared" si="225"/>
        <v>0</v>
      </c>
      <c r="Y104" s="147">
        <f t="shared" si="226"/>
        <v>0</v>
      </c>
      <c r="Z104" s="147">
        <f t="shared" si="227"/>
        <v>0</v>
      </c>
      <c r="AA104" s="147">
        <f t="shared" si="228"/>
        <v>0</v>
      </c>
      <c r="AB104" s="145">
        <f t="shared" si="229"/>
        <v>0</v>
      </c>
      <c r="AC104" s="147">
        <f t="shared" si="230"/>
        <v>0</v>
      </c>
      <c r="AD104" s="147">
        <f t="shared" si="231"/>
        <v>0</v>
      </c>
      <c r="AE104" s="147">
        <f t="shared" si="232"/>
        <v>0</v>
      </c>
      <c r="AF104" s="147">
        <f t="shared" si="233"/>
        <v>0</v>
      </c>
      <c r="AG104" s="147">
        <f t="shared" si="234"/>
        <v>0</v>
      </c>
      <c r="AH104" s="147">
        <f t="shared" si="235"/>
        <v>0</v>
      </c>
      <c r="AI104" s="147">
        <f t="shared" si="236"/>
        <v>0</v>
      </c>
      <c r="AJ104" s="147">
        <f t="shared" si="237"/>
        <v>0</v>
      </c>
      <c r="AK104" s="145">
        <f t="shared" si="238"/>
        <v>0</v>
      </c>
      <c r="AL104" s="147">
        <f t="shared" si="239"/>
        <v>0</v>
      </c>
      <c r="AM104" s="147">
        <f t="shared" si="240"/>
        <v>0</v>
      </c>
      <c r="AN104" s="147">
        <f t="shared" si="241"/>
        <v>0</v>
      </c>
      <c r="AO104" s="147">
        <f t="shared" si="242"/>
        <v>0</v>
      </c>
      <c r="AP104" s="147">
        <f t="shared" si="242"/>
        <v>0</v>
      </c>
      <c r="AQ104" s="147">
        <f t="shared" si="243"/>
        <v>0</v>
      </c>
      <c r="AR104" s="147">
        <f t="shared" si="244"/>
        <v>0</v>
      </c>
      <c r="AS104" s="198">
        <f t="shared" si="245"/>
        <v>0</v>
      </c>
      <c r="AT104" s="147"/>
      <c r="AU104" s="147"/>
      <c r="AV104" s="147"/>
      <c r="AW104" s="147"/>
      <c r="AX104" s="147"/>
      <c r="AY104" s="147"/>
      <c r="AZ104" s="147"/>
      <c r="BA104" s="147"/>
      <c r="BB104" s="147"/>
      <c r="BC104" s="147"/>
      <c r="BD104" s="147"/>
      <c r="BE104" s="147"/>
      <c r="BF104" s="145"/>
      <c r="BG104" s="199"/>
      <c r="BH104" s="147"/>
      <c r="BI104" s="147"/>
      <c r="BJ104" s="147"/>
      <c r="BK104" s="147"/>
      <c r="BL104" s="147"/>
      <c r="BM104" s="147"/>
      <c r="BN104" s="147"/>
      <c r="BO104" s="199"/>
      <c r="BP104" s="147"/>
      <c r="BQ104" s="147"/>
      <c r="BR104" s="145"/>
      <c r="BS104" s="199"/>
      <c r="BT104" s="147"/>
      <c r="BU104" s="147"/>
      <c r="BV104" s="147"/>
      <c r="BW104" s="147"/>
      <c r="BX104" s="147"/>
      <c r="BY104" s="147"/>
      <c r="BZ104" s="147"/>
      <c r="CA104" s="147"/>
      <c r="CB104" s="145"/>
      <c r="CC104" s="147"/>
      <c r="CD104" s="147"/>
      <c r="CE104" s="147"/>
      <c r="CF104" s="147"/>
      <c r="CG104" s="147"/>
      <c r="CH104" s="147"/>
      <c r="CI104" s="147"/>
      <c r="CJ104" s="147"/>
      <c r="CK104" s="198"/>
      <c r="CL104" s="163"/>
    </row>
    <row r="105" spans="1:90">
      <c r="A105" s="93">
        <f>ROWS($A$3:A103)</f>
        <v>101</v>
      </c>
      <c r="B105" s="63"/>
      <c r="C105" s="243"/>
      <c r="D105" s="319"/>
      <c r="E105" s="320"/>
      <c r="F105" s="194"/>
      <c r="G105" s="195"/>
      <c r="H105" s="195"/>
      <c r="I105" s="196"/>
      <c r="J105" s="348"/>
      <c r="K105" s="197">
        <f t="shared" si="214"/>
        <v>0</v>
      </c>
      <c r="L105" s="147">
        <f t="shared" si="215"/>
        <v>0</v>
      </c>
      <c r="M105" s="147">
        <f t="shared" si="216"/>
        <v>0</v>
      </c>
      <c r="N105" s="147">
        <f t="shared" si="217"/>
        <v>0</v>
      </c>
      <c r="O105" s="147">
        <f t="shared" si="218"/>
        <v>0</v>
      </c>
      <c r="P105" s="147">
        <f t="shared" si="219"/>
        <v>0</v>
      </c>
      <c r="Q105" s="147">
        <f>'2010'!AU105</f>
        <v>0</v>
      </c>
      <c r="R105" s="147">
        <f t="shared" si="220"/>
        <v>0</v>
      </c>
      <c r="S105" s="147">
        <f t="shared" si="221"/>
        <v>0</v>
      </c>
      <c r="T105" s="147">
        <f t="shared" si="222"/>
        <v>0</v>
      </c>
      <c r="U105" s="145">
        <f t="shared" si="222"/>
        <v>0</v>
      </c>
      <c r="V105" s="147">
        <f t="shared" si="223"/>
        <v>0</v>
      </c>
      <c r="W105" s="147">
        <f t="shared" si="224"/>
        <v>0</v>
      </c>
      <c r="X105" s="147">
        <f t="shared" si="225"/>
        <v>0</v>
      </c>
      <c r="Y105" s="147">
        <f t="shared" si="226"/>
        <v>0</v>
      </c>
      <c r="Z105" s="147">
        <f t="shared" si="227"/>
        <v>0</v>
      </c>
      <c r="AA105" s="147">
        <f t="shared" si="228"/>
        <v>0</v>
      </c>
      <c r="AB105" s="145">
        <f t="shared" si="229"/>
        <v>0</v>
      </c>
      <c r="AC105" s="147">
        <f t="shared" si="230"/>
        <v>0</v>
      </c>
      <c r="AD105" s="147">
        <f t="shared" si="231"/>
        <v>0</v>
      </c>
      <c r="AE105" s="147">
        <f t="shared" si="232"/>
        <v>0</v>
      </c>
      <c r="AF105" s="147">
        <f t="shared" si="233"/>
        <v>0</v>
      </c>
      <c r="AG105" s="147">
        <f t="shared" si="234"/>
        <v>0</v>
      </c>
      <c r="AH105" s="147">
        <f t="shared" si="235"/>
        <v>0</v>
      </c>
      <c r="AI105" s="147">
        <f t="shared" si="236"/>
        <v>0</v>
      </c>
      <c r="AJ105" s="147">
        <f t="shared" si="237"/>
        <v>0</v>
      </c>
      <c r="AK105" s="145">
        <f t="shared" si="238"/>
        <v>0</v>
      </c>
      <c r="AL105" s="147">
        <f t="shared" si="239"/>
        <v>0</v>
      </c>
      <c r="AM105" s="147">
        <f t="shared" si="240"/>
        <v>0</v>
      </c>
      <c r="AN105" s="147">
        <f t="shared" si="241"/>
        <v>0</v>
      </c>
      <c r="AO105" s="147">
        <f t="shared" si="242"/>
        <v>0</v>
      </c>
      <c r="AP105" s="147">
        <f t="shared" si="242"/>
        <v>0</v>
      </c>
      <c r="AQ105" s="147">
        <f t="shared" si="243"/>
        <v>0</v>
      </c>
      <c r="AR105" s="147">
        <f t="shared" si="244"/>
        <v>0</v>
      </c>
      <c r="AS105" s="198">
        <f t="shared" si="245"/>
        <v>0</v>
      </c>
      <c r="AT105" s="147"/>
      <c r="AU105" s="147"/>
      <c r="AV105" s="147"/>
      <c r="AW105" s="147"/>
      <c r="AX105" s="147"/>
      <c r="AY105" s="147"/>
      <c r="AZ105" s="147"/>
      <c r="BA105" s="147"/>
      <c r="BB105" s="147"/>
      <c r="BC105" s="147"/>
      <c r="BD105" s="147"/>
      <c r="BE105" s="147"/>
      <c r="BF105" s="145"/>
      <c r="BG105" s="199"/>
      <c r="BH105" s="147"/>
      <c r="BI105" s="147"/>
      <c r="BJ105" s="147"/>
      <c r="BK105" s="147"/>
      <c r="BL105" s="147"/>
      <c r="BM105" s="147"/>
      <c r="BN105" s="147"/>
      <c r="BO105" s="199"/>
      <c r="BP105" s="147"/>
      <c r="BQ105" s="147"/>
      <c r="BR105" s="145"/>
      <c r="BS105" s="199"/>
      <c r="BT105" s="147"/>
      <c r="BU105" s="147"/>
      <c r="BV105" s="147"/>
      <c r="BW105" s="147"/>
      <c r="BX105" s="147"/>
      <c r="BY105" s="147"/>
      <c r="BZ105" s="147"/>
      <c r="CA105" s="147"/>
      <c r="CB105" s="145"/>
      <c r="CC105" s="147"/>
      <c r="CD105" s="147"/>
      <c r="CE105" s="147"/>
      <c r="CF105" s="147"/>
      <c r="CG105" s="147"/>
      <c r="CH105" s="147"/>
      <c r="CI105" s="147"/>
      <c r="CJ105" s="147"/>
      <c r="CK105" s="198"/>
      <c r="CL105" s="163"/>
    </row>
    <row r="106" spans="1:90" ht="13.5" thickBot="1">
      <c r="A106" s="93">
        <f>ROWS($A$3:A104)</f>
        <v>102</v>
      </c>
      <c r="B106" s="64"/>
      <c r="C106" s="246"/>
      <c r="D106" s="328"/>
      <c r="E106" s="329"/>
      <c r="F106" s="200"/>
      <c r="G106" s="201"/>
      <c r="H106" s="201"/>
      <c r="I106" s="202"/>
      <c r="J106" s="201"/>
      <c r="K106" s="203">
        <f t="shared" si="214"/>
        <v>0</v>
      </c>
      <c r="L106" s="204">
        <f t="shared" si="215"/>
        <v>0</v>
      </c>
      <c r="M106" s="204">
        <f t="shared" si="216"/>
        <v>0</v>
      </c>
      <c r="N106" s="204">
        <f t="shared" si="217"/>
        <v>0</v>
      </c>
      <c r="O106" s="204">
        <f t="shared" si="218"/>
        <v>0</v>
      </c>
      <c r="P106" s="204">
        <f t="shared" si="219"/>
        <v>0</v>
      </c>
      <c r="Q106" s="204">
        <f>'2010'!AU106</f>
        <v>0</v>
      </c>
      <c r="R106" s="204">
        <f t="shared" si="220"/>
        <v>0</v>
      </c>
      <c r="S106" s="204">
        <f t="shared" si="221"/>
        <v>0</v>
      </c>
      <c r="T106" s="204">
        <f t="shared" si="222"/>
        <v>0</v>
      </c>
      <c r="U106" s="149">
        <f t="shared" si="222"/>
        <v>0</v>
      </c>
      <c r="V106" s="204">
        <f t="shared" si="223"/>
        <v>0</v>
      </c>
      <c r="W106" s="204">
        <f t="shared" si="224"/>
        <v>0</v>
      </c>
      <c r="X106" s="204">
        <f t="shared" si="225"/>
        <v>0</v>
      </c>
      <c r="Y106" s="204">
        <f t="shared" si="226"/>
        <v>0</v>
      </c>
      <c r="Z106" s="204">
        <f t="shared" si="227"/>
        <v>0</v>
      </c>
      <c r="AA106" s="204">
        <f t="shared" si="228"/>
        <v>0</v>
      </c>
      <c r="AB106" s="149">
        <f t="shared" si="229"/>
        <v>0</v>
      </c>
      <c r="AC106" s="204">
        <f t="shared" si="230"/>
        <v>0</v>
      </c>
      <c r="AD106" s="204">
        <f t="shared" si="231"/>
        <v>0</v>
      </c>
      <c r="AE106" s="204">
        <f t="shared" si="232"/>
        <v>0</v>
      </c>
      <c r="AF106" s="204">
        <f t="shared" si="233"/>
        <v>0</v>
      </c>
      <c r="AG106" s="204">
        <f t="shared" si="234"/>
        <v>0</v>
      </c>
      <c r="AH106" s="204">
        <f t="shared" si="235"/>
        <v>0</v>
      </c>
      <c r="AI106" s="204">
        <f t="shared" si="236"/>
        <v>0</v>
      </c>
      <c r="AJ106" s="204">
        <f t="shared" si="237"/>
        <v>0</v>
      </c>
      <c r="AK106" s="149">
        <f t="shared" si="238"/>
        <v>0</v>
      </c>
      <c r="AL106" s="204">
        <f t="shared" si="239"/>
        <v>0</v>
      </c>
      <c r="AM106" s="204">
        <f t="shared" si="240"/>
        <v>0</v>
      </c>
      <c r="AN106" s="204">
        <f t="shared" si="241"/>
        <v>0</v>
      </c>
      <c r="AO106" s="204">
        <f t="shared" si="242"/>
        <v>0</v>
      </c>
      <c r="AP106" s="204">
        <f t="shared" si="242"/>
        <v>0</v>
      </c>
      <c r="AQ106" s="204">
        <f t="shared" si="243"/>
        <v>0</v>
      </c>
      <c r="AR106" s="204">
        <f t="shared" si="244"/>
        <v>0</v>
      </c>
      <c r="AS106" s="205">
        <f t="shared" si="245"/>
        <v>0</v>
      </c>
      <c r="AT106" s="204"/>
      <c r="AU106" s="204"/>
      <c r="AV106" s="204"/>
      <c r="AW106" s="204"/>
      <c r="AX106" s="204"/>
      <c r="AY106" s="204"/>
      <c r="AZ106" s="204"/>
      <c r="BA106" s="204"/>
      <c r="BB106" s="204"/>
      <c r="BC106" s="204"/>
      <c r="BD106" s="204"/>
      <c r="BE106" s="204"/>
      <c r="BF106" s="149"/>
      <c r="BG106" s="206"/>
      <c r="BH106" s="204"/>
      <c r="BI106" s="204"/>
      <c r="BJ106" s="204"/>
      <c r="BK106" s="204"/>
      <c r="BL106" s="204"/>
      <c r="BM106" s="204"/>
      <c r="BN106" s="204"/>
      <c r="BO106" s="206"/>
      <c r="BP106" s="204"/>
      <c r="BQ106" s="204"/>
      <c r="BR106" s="149"/>
      <c r="BS106" s="206"/>
      <c r="BT106" s="204"/>
      <c r="BU106" s="204"/>
      <c r="BV106" s="204"/>
      <c r="BW106" s="204"/>
      <c r="BX106" s="204"/>
      <c r="BY106" s="204"/>
      <c r="BZ106" s="204"/>
      <c r="CA106" s="204"/>
      <c r="CB106" s="149"/>
      <c r="CC106" s="204"/>
      <c r="CD106" s="204"/>
      <c r="CE106" s="204"/>
      <c r="CF106" s="204"/>
      <c r="CG106" s="204"/>
      <c r="CH106" s="204"/>
      <c r="CI106" s="204"/>
      <c r="CJ106" s="204"/>
      <c r="CK106" s="205"/>
      <c r="CL106" s="164"/>
    </row>
    <row r="107" spans="1:90">
      <c r="B107" s="65"/>
      <c r="C107" s="243"/>
      <c r="D107" s="55"/>
      <c r="E107" s="80"/>
      <c r="F107" s="195">
        <f t="shared" ref="F107:K107" si="246">SUM(F7:F92)</f>
        <v>13285322.263648326</v>
      </c>
      <c r="G107" s="195">
        <f t="shared" si="246"/>
        <v>7191496.9568906697</v>
      </c>
      <c r="H107" s="195">
        <f t="shared" si="246"/>
        <v>8176526.7184696645</v>
      </c>
      <c r="I107" s="195">
        <f t="shared" si="246"/>
        <v>9254388.7564813495</v>
      </c>
      <c r="J107" s="195">
        <f t="shared" si="246"/>
        <v>0</v>
      </c>
      <c r="K107" s="195">
        <f t="shared" si="246"/>
        <v>1601258.4265083747</v>
      </c>
      <c r="L107" s="195">
        <f t="shared" ref="L107:BW107" si="247">SUM(L7:L92)</f>
        <v>1060888.1406372041</v>
      </c>
      <c r="M107" s="195">
        <f t="shared" si="247"/>
        <v>1087155.5897723478</v>
      </c>
      <c r="N107" s="195">
        <f t="shared" si="247"/>
        <v>847788.91547267127</v>
      </c>
      <c r="O107" s="195">
        <f t="shared" si="247"/>
        <v>665089.71379325283</v>
      </c>
      <c r="P107" s="195">
        <f t="shared" si="247"/>
        <v>1327204.2185827503</v>
      </c>
      <c r="Q107" s="195">
        <f t="shared" si="247"/>
        <v>952535.94270938181</v>
      </c>
      <c r="R107" s="195">
        <f t="shared" si="247"/>
        <v>2338776.1646248684</v>
      </c>
      <c r="S107" s="195">
        <f t="shared" si="247"/>
        <v>1128622.8958903516</v>
      </c>
      <c r="T107" s="195">
        <f t="shared" si="247"/>
        <v>835911.8865791182</v>
      </c>
      <c r="U107" s="195">
        <f t="shared" si="247"/>
        <v>1759742.8222170428</v>
      </c>
      <c r="V107" s="195">
        <f t="shared" si="247"/>
        <v>776351.55020893866</v>
      </c>
      <c r="W107" s="195">
        <f t="shared" si="247"/>
        <v>566823.21565076266</v>
      </c>
      <c r="X107" s="195">
        <f t="shared" si="247"/>
        <v>1674503.7632438955</v>
      </c>
      <c r="Y107" s="195">
        <f t="shared" si="247"/>
        <v>2160838.9666933869</v>
      </c>
      <c r="Z107" s="195">
        <f t="shared" si="247"/>
        <v>817688.86278535461</v>
      </c>
      <c r="AA107" s="195">
        <f t="shared" si="247"/>
        <v>800369.56973211362</v>
      </c>
      <c r="AB107" s="195">
        <f t="shared" si="247"/>
        <v>578291.0589700985</v>
      </c>
      <c r="AC107" s="195">
        <f t="shared" si="247"/>
        <v>948780.08342170168</v>
      </c>
      <c r="AD107" s="195">
        <f t="shared" si="247"/>
        <v>584158.10420227435</v>
      </c>
      <c r="AE107" s="195">
        <f t="shared" si="247"/>
        <v>1517062.4018735809</v>
      </c>
      <c r="AF107" s="195">
        <f t="shared" si="247"/>
        <v>721891.66122773138</v>
      </c>
      <c r="AG107" s="195">
        <f t="shared" si="247"/>
        <v>1496671.0067675689</v>
      </c>
      <c r="AH107" s="195">
        <f t="shared" si="247"/>
        <v>913105.01769460074</v>
      </c>
      <c r="AI107" s="195">
        <f t="shared" si="247"/>
        <v>665357.0601421583</v>
      </c>
      <c r="AJ107" s="195">
        <f t="shared" si="247"/>
        <v>614654.72883298818</v>
      </c>
      <c r="AK107" s="195">
        <f t="shared" si="247"/>
        <v>889531.43502693903</v>
      </c>
      <c r="AL107" s="195">
        <f t="shared" si="247"/>
        <v>789242.67752960674</v>
      </c>
      <c r="AM107" s="195">
        <f t="shared" si="247"/>
        <v>1427729.123369534</v>
      </c>
      <c r="AN107" s="195">
        <f t="shared" si="247"/>
        <v>1903076.4210350972</v>
      </c>
      <c r="AO107" s="195">
        <f t="shared" si="247"/>
        <v>1134427.7544344212</v>
      </c>
      <c r="AP107" s="195">
        <f t="shared" si="247"/>
        <v>626117.12010266783</v>
      </c>
      <c r="AQ107" s="195">
        <f t="shared" si="247"/>
        <v>1010348.9431062986</v>
      </c>
      <c r="AR107" s="195">
        <f t="shared" si="247"/>
        <v>758606.94876784692</v>
      </c>
      <c r="AS107" s="195">
        <f t="shared" si="247"/>
        <v>1781896.5790097632</v>
      </c>
      <c r="AT107" s="195">
        <f t="shared" si="247"/>
        <v>1234319.0181703032</v>
      </c>
      <c r="AU107" s="195">
        <f t="shared" si="247"/>
        <v>957661.24050076236</v>
      </c>
      <c r="AV107" s="195">
        <f t="shared" si="247"/>
        <v>1128622.8958903516</v>
      </c>
      <c r="AW107" s="195">
        <f t="shared" si="247"/>
        <v>847788.91547267127</v>
      </c>
      <c r="AX107" s="195">
        <f t="shared" si="247"/>
        <v>1202106.3168554136</v>
      </c>
      <c r="AY107" s="195">
        <f t="shared" si="247"/>
        <v>1060888.1406372041</v>
      </c>
      <c r="AZ107" s="195">
        <f t="shared" si="247"/>
        <v>294468.40086035337</v>
      </c>
      <c r="BA107" s="195">
        <f t="shared" si="247"/>
        <v>1073293.6077120933</v>
      </c>
      <c r="BB107" s="195">
        <f t="shared" si="247"/>
        <v>835911.8865791182</v>
      </c>
      <c r="BC107" s="195">
        <f t="shared" si="247"/>
        <v>1759742.8222170428</v>
      </c>
      <c r="BD107" s="195">
        <f t="shared" si="247"/>
        <v>1087155.5897723478</v>
      </c>
      <c r="BE107" s="195">
        <f t="shared" si="247"/>
        <v>665089.71379325283</v>
      </c>
      <c r="BF107" s="195">
        <f t="shared" si="247"/>
        <v>1601258.4265083747</v>
      </c>
      <c r="BG107" s="195">
        <f t="shared" si="247"/>
        <v>153201.92614047093</v>
      </c>
      <c r="BH107" s="195">
        <f t="shared" si="247"/>
        <v>611005.36531521345</v>
      </c>
      <c r="BI107" s="195">
        <f t="shared" si="247"/>
        <v>1102694.6423664426</v>
      </c>
      <c r="BJ107" s="195">
        <f t="shared" si="247"/>
        <v>639741.06548876828</v>
      </c>
      <c r="BK107" s="195">
        <f t="shared" si="247"/>
        <v>414365.23106529249</v>
      </c>
      <c r="BL107" s="195">
        <f t="shared" si="247"/>
        <v>576846.77678726416</v>
      </c>
      <c r="BM107" s="195">
        <f t="shared" si="247"/>
        <v>817688.86278535461</v>
      </c>
      <c r="BN107" s="195">
        <f t="shared" si="247"/>
        <v>1280969.9858470319</v>
      </c>
      <c r="BO107" s="195">
        <f t="shared" si="247"/>
        <v>283906.35822643258</v>
      </c>
      <c r="BP107" s="195">
        <f t="shared" si="247"/>
        <v>578291.0589700985</v>
      </c>
      <c r="BQ107" s="195">
        <f t="shared" si="247"/>
        <v>581992.17070044647</v>
      </c>
      <c r="BR107" s="195">
        <f t="shared" si="247"/>
        <v>566823.21565076266</v>
      </c>
      <c r="BS107" s="195">
        <f t="shared" si="247"/>
        <v>458714.37980851001</v>
      </c>
      <c r="BT107" s="195">
        <f t="shared" si="247"/>
        <v>1087987.5868277056</v>
      </c>
      <c r="BU107" s="195">
        <f t="shared" si="247"/>
        <v>584158.10420227435</v>
      </c>
      <c r="BV107" s="195">
        <f t="shared" si="247"/>
        <v>1496671.0067675689</v>
      </c>
      <c r="BW107" s="195">
        <f t="shared" si="247"/>
        <v>665357.0601421583</v>
      </c>
      <c r="BX107" s="195">
        <f t="shared" ref="BX107:CL107" si="248">SUM(BX7:BX92)</f>
        <v>948780.08342170168</v>
      </c>
      <c r="BY107" s="195">
        <f t="shared" si="248"/>
        <v>614654.72883298818</v>
      </c>
      <c r="BZ107" s="195">
        <f t="shared" si="248"/>
        <v>913105.01769460074</v>
      </c>
      <c r="CA107" s="195">
        <f t="shared" si="248"/>
        <v>721891.66122773138</v>
      </c>
      <c r="CB107" s="195">
        <f t="shared" si="248"/>
        <v>889531.43502693903</v>
      </c>
      <c r="CC107" s="195">
        <f t="shared" si="248"/>
        <v>1134427.7544344212</v>
      </c>
      <c r="CD107" s="195">
        <f t="shared" si="248"/>
        <v>626117.12010266783</v>
      </c>
      <c r="CE107" s="195">
        <f t="shared" si="248"/>
        <v>789242.67752960674</v>
      </c>
      <c r="CF107" s="195">
        <f t="shared" si="248"/>
        <v>348718.65204029856</v>
      </c>
      <c r="CG107" s="195">
        <f t="shared" si="248"/>
        <v>1482521.5662890181</v>
      </c>
      <c r="CH107" s="195">
        <f t="shared" si="248"/>
        <v>1427729.123369534</v>
      </c>
      <c r="CI107" s="195">
        <f t="shared" si="248"/>
        <v>758606.94876784692</v>
      </c>
      <c r="CJ107" s="195">
        <f t="shared" si="248"/>
        <v>1903076.4210350972</v>
      </c>
      <c r="CK107" s="195">
        <f t="shared" si="248"/>
        <v>1010348.9431062986</v>
      </c>
      <c r="CL107" s="195">
        <f t="shared" si="248"/>
        <v>37846570.563210942</v>
      </c>
    </row>
    <row r="108" spans="1:90">
      <c r="B108" s="83" t="s">
        <v>225</v>
      </c>
    </row>
    <row r="109" spans="1:90">
      <c r="B109" s="85" t="s">
        <v>292</v>
      </c>
    </row>
    <row r="110" spans="1:90">
      <c r="B110" s="85" t="s">
        <v>221</v>
      </c>
    </row>
    <row r="111" spans="1:90">
      <c r="B111" s="85" t="s">
        <v>222</v>
      </c>
    </row>
    <row r="112" spans="1:90">
      <c r="B112" s="84"/>
    </row>
    <row r="113" spans="1:90">
      <c r="B113" s="85" t="s">
        <v>83</v>
      </c>
    </row>
    <row r="114" spans="1:90">
      <c r="B114" s="85" t="s">
        <v>223</v>
      </c>
    </row>
    <row r="115" spans="1:90">
      <c r="B115" s="85" t="s">
        <v>228</v>
      </c>
    </row>
    <row r="117" spans="1:90" s="80" customFormat="1" ht="11.25">
      <c r="A117" s="413"/>
      <c r="B117" s="414" t="s">
        <v>66</v>
      </c>
      <c r="C117" s="406">
        <v>2009</v>
      </c>
      <c r="D117" s="415" t="s">
        <v>12</v>
      </c>
      <c r="E117" s="416">
        <v>40767</v>
      </c>
      <c r="F117" s="407">
        <f>SUM(AT117:BF117)</f>
        <v>34700</v>
      </c>
      <c r="G117" s="407">
        <f>SUM(BG117:BR117)</f>
        <v>15300</v>
      </c>
      <c r="H117" s="407">
        <f>SUM(BS117:CB117)</f>
        <v>27400</v>
      </c>
      <c r="I117" s="407">
        <f>SUM(CC117:CK117)</f>
        <v>22800</v>
      </c>
      <c r="J117" s="408"/>
      <c r="K117" s="407">
        <f>BF117</f>
        <v>3500</v>
      </c>
      <c r="L117" s="407">
        <f>AY117</f>
        <v>3600</v>
      </c>
      <c r="M117" s="407">
        <f>BD117</f>
        <v>2600</v>
      </c>
      <c r="N117" s="407">
        <f>AW117</f>
        <v>1600</v>
      </c>
      <c r="O117" s="407">
        <f>BE117</f>
        <v>1100</v>
      </c>
      <c r="P117" s="407">
        <f>AZ117+BA117</f>
        <v>5400</v>
      </c>
      <c r="Q117" s="407">
        <f>'2010'!AU117</f>
        <v>1900</v>
      </c>
      <c r="R117" s="407">
        <f>AT117+AX117</f>
        <v>6400</v>
      </c>
      <c r="S117" s="407">
        <f>AV117</f>
        <v>2600</v>
      </c>
      <c r="T117" s="407">
        <f>BB117</f>
        <v>2400</v>
      </c>
      <c r="U117" s="407">
        <f>BC117</f>
        <v>3600</v>
      </c>
      <c r="V117" s="407">
        <f>BG117+BJ117</f>
        <v>2300</v>
      </c>
      <c r="W117" s="407">
        <f>BR117</f>
        <v>1200</v>
      </c>
      <c r="X117" s="407">
        <f>BH117+BI117</f>
        <v>3100</v>
      </c>
      <c r="Y117" s="407">
        <f>BK117+BL117+BN117</f>
        <v>4200</v>
      </c>
      <c r="Z117" s="407">
        <f>BM117</f>
        <v>1700</v>
      </c>
      <c r="AA117" s="407">
        <f>BO117+BQ117</f>
        <v>1500</v>
      </c>
      <c r="AB117" s="407">
        <f>BP117</f>
        <v>1300</v>
      </c>
      <c r="AC117" s="407">
        <f>BX117</f>
        <v>1900</v>
      </c>
      <c r="AD117" s="407">
        <f>BU117</f>
        <v>2900</v>
      </c>
      <c r="AE117" s="407">
        <f>BS117+BT117</f>
        <v>6000</v>
      </c>
      <c r="AF117" s="407">
        <f>CA117</f>
        <v>2200</v>
      </c>
      <c r="AG117" s="407">
        <f>BV117</f>
        <v>7000</v>
      </c>
      <c r="AH117" s="407">
        <f>BZ117</f>
        <v>2800</v>
      </c>
      <c r="AI117" s="407">
        <f>BW117</f>
        <v>1500</v>
      </c>
      <c r="AJ117" s="407">
        <f>BY117</f>
        <v>900</v>
      </c>
      <c r="AK117" s="407">
        <f>CB117</f>
        <v>2200</v>
      </c>
      <c r="AL117" s="407">
        <f>CE117</f>
        <v>1600</v>
      </c>
      <c r="AM117" s="407">
        <f>CH117</f>
        <v>3300</v>
      </c>
      <c r="AN117" s="407">
        <f>CJ117</f>
        <v>4800</v>
      </c>
      <c r="AO117" s="407">
        <f>CC117</f>
        <v>2600</v>
      </c>
      <c r="AP117" s="407">
        <f>CD117</f>
        <v>1100</v>
      </c>
      <c r="AQ117" s="407">
        <f>CK117</f>
        <v>2400</v>
      </c>
      <c r="AR117" s="407">
        <f>CI117</f>
        <v>3600</v>
      </c>
      <c r="AS117" s="407">
        <f>CF117+CG117</f>
        <v>3400</v>
      </c>
      <c r="AT117" s="408">
        <v>1700</v>
      </c>
      <c r="AU117" s="408">
        <v>1900</v>
      </c>
      <c r="AV117" s="408">
        <v>2600</v>
      </c>
      <c r="AW117" s="408">
        <v>1600</v>
      </c>
      <c r="AX117" s="408">
        <v>4700</v>
      </c>
      <c r="AY117" s="407">
        <v>3600</v>
      </c>
      <c r="AZ117" s="407">
        <v>600</v>
      </c>
      <c r="BA117" s="407">
        <v>4800</v>
      </c>
      <c r="BB117" s="407">
        <v>2400</v>
      </c>
      <c r="BC117" s="407">
        <v>3600</v>
      </c>
      <c r="BD117" s="407">
        <v>2600</v>
      </c>
      <c r="BE117" s="407">
        <v>1100</v>
      </c>
      <c r="BF117" s="407">
        <v>3500</v>
      </c>
      <c r="BG117" s="407">
        <v>500</v>
      </c>
      <c r="BH117" s="407">
        <v>500</v>
      </c>
      <c r="BI117" s="407">
        <v>2600</v>
      </c>
      <c r="BJ117" s="407">
        <v>1800</v>
      </c>
      <c r="BK117" s="407">
        <v>500</v>
      </c>
      <c r="BL117" s="407">
        <v>800</v>
      </c>
      <c r="BM117" s="407">
        <v>1700</v>
      </c>
      <c r="BN117" s="407">
        <v>2900</v>
      </c>
      <c r="BO117" s="407">
        <v>300</v>
      </c>
      <c r="BP117" s="407">
        <v>1300</v>
      </c>
      <c r="BQ117" s="407">
        <v>1200</v>
      </c>
      <c r="BR117" s="407">
        <v>1200</v>
      </c>
      <c r="BS117" s="407">
        <v>700</v>
      </c>
      <c r="BT117" s="407">
        <v>5300</v>
      </c>
      <c r="BU117" s="407">
        <v>2900</v>
      </c>
      <c r="BV117" s="407">
        <v>7000</v>
      </c>
      <c r="BW117" s="407">
        <v>1500</v>
      </c>
      <c r="BX117" s="407">
        <v>1900</v>
      </c>
      <c r="BY117" s="407">
        <v>900</v>
      </c>
      <c r="BZ117" s="407">
        <v>2800</v>
      </c>
      <c r="CA117" s="407">
        <v>2200</v>
      </c>
      <c r="CB117" s="407">
        <v>2200</v>
      </c>
      <c r="CC117" s="407">
        <v>2600</v>
      </c>
      <c r="CD117" s="407">
        <v>1100</v>
      </c>
      <c r="CE117" s="407">
        <v>1600</v>
      </c>
      <c r="CF117" s="407">
        <v>400</v>
      </c>
      <c r="CG117" s="407">
        <v>3000</v>
      </c>
      <c r="CH117" s="407">
        <v>3300</v>
      </c>
      <c r="CI117" s="407">
        <v>3600</v>
      </c>
      <c r="CJ117" s="407">
        <v>4800</v>
      </c>
      <c r="CK117" s="407">
        <v>2400</v>
      </c>
      <c r="CL117" s="407">
        <v>99900</v>
      </c>
    </row>
    <row r="118" spans="1:90" s="80" customFormat="1" ht="11.25">
      <c r="A118" s="413"/>
      <c r="B118" s="417" t="s">
        <v>305</v>
      </c>
      <c r="C118" s="409"/>
      <c r="D118" s="415" t="s">
        <v>3</v>
      </c>
      <c r="E118" s="415"/>
      <c r="F118" s="412">
        <v>0.70599999999999996</v>
      </c>
      <c r="G118" s="410">
        <v>0.36399999999999999</v>
      </c>
      <c r="H118" s="410">
        <v>0.50700000000000001</v>
      </c>
      <c r="I118" s="412">
        <v>0.42299999999999999</v>
      </c>
      <c r="J118" s="410"/>
      <c r="K118" s="412">
        <f>BF118</f>
        <v>7.3999999999999996E-2</v>
      </c>
      <c r="L118" s="410">
        <f>AY118</f>
        <v>7.0999999999999994E-2</v>
      </c>
      <c r="M118" s="410">
        <f>BD118</f>
        <v>5.2999999999999999E-2</v>
      </c>
      <c r="N118" s="410">
        <f>AW118</f>
        <v>3.1E-2</v>
      </c>
      <c r="O118" s="410">
        <f>BE118</f>
        <v>2.9000000000000001E-2</v>
      </c>
      <c r="P118" s="411">
        <f>AZ118+BA118</f>
        <v>9.5000000000000001E-2</v>
      </c>
      <c r="Q118" s="412"/>
      <c r="R118" s="411">
        <f>AT118+AX118</f>
        <v>0.124</v>
      </c>
      <c r="S118" s="410">
        <f>AV118</f>
        <v>5.2999999999999999E-2</v>
      </c>
      <c r="T118" s="410">
        <f>BB118</f>
        <v>5.6000000000000001E-2</v>
      </c>
      <c r="U118" s="412">
        <f>BC118</f>
        <v>8.4000000000000005E-2</v>
      </c>
      <c r="V118" s="411">
        <f>BG118+BJ118</f>
        <v>5.7000000000000002E-2</v>
      </c>
      <c r="W118" s="410">
        <f>BR118</f>
        <v>2.5999999999999999E-2</v>
      </c>
      <c r="X118" s="411">
        <f>BH118+BI118</f>
        <v>6.9000000000000006E-2</v>
      </c>
      <c r="Y118" s="411">
        <f>BK118+BL118+BN118</f>
        <v>0.10100000000000001</v>
      </c>
      <c r="Z118" s="410">
        <f>BM118</f>
        <v>4.1000000000000002E-2</v>
      </c>
      <c r="AA118" s="411">
        <f>BO118+BQ118</f>
        <v>3.6999999999999998E-2</v>
      </c>
      <c r="AB118" s="412">
        <f>BP118</f>
        <v>3.3000000000000002E-2</v>
      </c>
      <c r="AC118" s="410">
        <f>BX118</f>
        <v>3.5999999999999997E-2</v>
      </c>
      <c r="AD118" s="410">
        <f>BU118</f>
        <v>4.2999999999999997E-2</v>
      </c>
      <c r="AE118" s="411">
        <f>BS118+BT118</f>
        <v>0.107</v>
      </c>
      <c r="AF118" s="410">
        <f>CA118</f>
        <v>4.3999999999999997E-2</v>
      </c>
      <c r="AG118" s="410">
        <f>BV118</f>
        <v>0.124</v>
      </c>
      <c r="AH118" s="410">
        <f>BZ118</f>
        <v>7.3999999999999996E-2</v>
      </c>
      <c r="AI118" s="410">
        <f>BW118</f>
        <v>0.03</v>
      </c>
      <c r="AJ118" s="410">
        <f>BY118</f>
        <v>1.9E-2</v>
      </c>
      <c r="AK118" s="412">
        <f>CB118</f>
        <v>3.1E-2</v>
      </c>
      <c r="AL118" s="410">
        <f>CE118</f>
        <v>3.2000000000000001E-2</v>
      </c>
      <c r="AM118" s="410">
        <f>CH118</f>
        <v>6.6000000000000003E-2</v>
      </c>
      <c r="AN118" s="410">
        <f>CJ118</f>
        <v>9.0999999999999998E-2</v>
      </c>
      <c r="AO118" s="410">
        <f>CC118</f>
        <v>4.5999999999999999E-2</v>
      </c>
      <c r="AP118" s="410">
        <f>CD118</f>
        <v>1.9E-2</v>
      </c>
      <c r="AQ118" s="410">
        <f>CK118</f>
        <v>4.4999999999999998E-2</v>
      </c>
      <c r="AR118" s="410">
        <f>CI118</f>
        <v>6.4000000000000001E-2</v>
      </c>
      <c r="AS118" s="411">
        <f>CF118+CG118</f>
        <v>6.0000000000000005E-2</v>
      </c>
      <c r="AT118" s="410">
        <v>4.3999999999999997E-2</v>
      </c>
      <c r="AU118" s="410">
        <v>3.5999999999999997E-2</v>
      </c>
      <c r="AV118" s="410">
        <v>5.2999999999999999E-2</v>
      </c>
      <c r="AW118" s="410">
        <v>3.1E-2</v>
      </c>
      <c r="AX118" s="410">
        <v>0.08</v>
      </c>
      <c r="AY118" s="410">
        <v>7.0999999999999994E-2</v>
      </c>
      <c r="AZ118" s="410">
        <v>1.4E-2</v>
      </c>
      <c r="BA118" s="410">
        <v>8.1000000000000003E-2</v>
      </c>
      <c r="BB118" s="410">
        <v>5.6000000000000001E-2</v>
      </c>
      <c r="BC118" s="410">
        <v>8.4000000000000005E-2</v>
      </c>
      <c r="BD118" s="410">
        <v>5.2999999999999999E-2</v>
      </c>
      <c r="BE118" s="410">
        <v>2.9000000000000001E-2</v>
      </c>
      <c r="BF118" s="412">
        <v>7.3999999999999996E-2</v>
      </c>
      <c r="BG118" s="410">
        <v>1.6E-2</v>
      </c>
      <c r="BH118" s="410">
        <v>1.4E-2</v>
      </c>
      <c r="BI118" s="410">
        <v>5.5E-2</v>
      </c>
      <c r="BJ118" s="410">
        <v>4.1000000000000002E-2</v>
      </c>
      <c r="BK118" s="410">
        <v>1.4999999999999999E-2</v>
      </c>
      <c r="BL118" s="410">
        <v>1.7000000000000001E-2</v>
      </c>
      <c r="BM118" s="410">
        <v>4.1000000000000002E-2</v>
      </c>
      <c r="BN118" s="410">
        <v>6.9000000000000006E-2</v>
      </c>
      <c r="BO118" s="410">
        <v>1.2999999999999999E-2</v>
      </c>
      <c r="BP118" s="410">
        <v>3.3000000000000002E-2</v>
      </c>
      <c r="BQ118" s="410">
        <v>2.4E-2</v>
      </c>
      <c r="BR118" s="412">
        <v>2.5999999999999999E-2</v>
      </c>
      <c r="BS118" s="410">
        <v>1.6E-2</v>
      </c>
      <c r="BT118" s="410">
        <v>9.0999999999999998E-2</v>
      </c>
      <c r="BU118" s="410">
        <v>4.2999999999999997E-2</v>
      </c>
      <c r="BV118" s="410">
        <v>0.124</v>
      </c>
      <c r="BW118" s="410">
        <v>0.03</v>
      </c>
      <c r="BX118" s="410">
        <v>3.5999999999999997E-2</v>
      </c>
      <c r="BY118" s="410">
        <v>1.9E-2</v>
      </c>
      <c r="BZ118" s="410">
        <v>7.3999999999999996E-2</v>
      </c>
      <c r="CA118" s="410">
        <v>4.3999999999999997E-2</v>
      </c>
      <c r="CB118" s="412">
        <v>3.1E-2</v>
      </c>
      <c r="CC118" s="410">
        <v>4.5999999999999999E-2</v>
      </c>
      <c r="CD118" s="410">
        <v>1.9E-2</v>
      </c>
      <c r="CE118" s="410">
        <v>3.2000000000000001E-2</v>
      </c>
      <c r="CF118" s="410">
        <v>0.01</v>
      </c>
      <c r="CG118" s="410">
        <v>0.05</v>
      </c>
      <c r="CH118" s="410">
        <v>6.6000000000000003E-2</v>
      </c>
      <c r="CI118" s="410">
        <v>6.4000000000000001E-2</v>
      </c>
      <c r="CJ118" s="410">
        <v>9.0999999999999998E-2</v>
      </c>
      <c r="CK118" s="412">
        <v>4.4999999999999998E-2</v>
      </c>
      <c r="CL118" s="412">
        <v>2.0009999999999999</v>
      </c>
    </row>
    <row r="119" spans="1:90" s="80" customFormat="1" ht="11.25">
      <c r="B119" s="414" t="s">
        <v>58</v>
      </c>
      <c r="C119" s="406">
        <v>2010</v>
      </c>
      <c r="D119" s="80" t="s">
        <v>14</v>
      </c>
      <c r="E119" s="418">
        <v>40441</v>
      </c>
      <c r="F119" s="407"/>
      <c r="G119" s="407"/>
      <c r="H119" s="407"/>
      <c r="I119" s="407"/>
      <c r="J119" s="407"/>
      <c r="K119" s="407">
        <v>56</v>
      </c>
      <c r="L119" s="407">
        <v>61</v>
      </c>
      <c r="M119" s="407">
        <v>14</v>
      </c>
      <c r="N119" s="407">
        <v>36</v>
      </c>
      <c r="O119" s="407">
        <v>75</v>
      </c>
      <c r="P119" s="407">
        <v>66</v>
      </c>
      <c r="Q119" s="407">
        <v>41</v>
      </c>
      <c r="R119" s="407">
        <v>97</v>
      </c>
      <c r="S119" s="407">
        <v>53</v>
      </c>
      <c r="T119" s="407">
        <v>19</v>
      </c>
      <c r="U119" s="407">
        <v>71</v>
      </c>
      <c r="V119" s="407">
        <v>32</v>
      </c>
      <c r="W119" s="407">
        <v>41</v>
      </c>
      <c r="X119" s="407">
        <v>81</v>
      </c>
      <c r="Y119" s="407">
        <v>56</v>
      </c>
      <c r="Z119" s="407">
        <v>26</v>
      </c>
      <c r="AA119" s="407">
        <v>44</v>
      </c>
      <c r="AB119" s="407">
        <v>21</v>
      </c>
      <c r="AC119" s="407">
        <v>24</v>
      </c>
      <c r="AD119" s="407">
        <v>20</v>
      </c>
      <c r="AE119" s="407">
        <v>42</v>
      </c>
      <c r="AF119" s="407">
        <v>19</v>
      </c>
      <c r="AG119" s="407">
        <v>23</v>
      </c>
      <c r="AH119" s="407">
        <v>16</v>
      </c>
      <c r="AI119" s="407">
        <v>40</v>
      </c>
      <c r="AJ119" s="407">
        <v>39</v>
      </c>
      <c r="AK119" s="407">
        <v>25</v>
      </c>
      <c r="AL119" s="407">
        <v>18</v>
      </c>
      <c r="AM119" s="407">
        <v>34</v>
      </c>
      <c r="AN119" s="407">
        <v>53</v>
      </c>
      <c r="AO119" s="407">
        <v>95</v>
      </c>
      <c r="AP119" s="407">
        <v>21</v>
      </c>
      <c r="AQ119" s="407">
        <v>28</v>
      </c>
      <c r="AR119" s="407">
        <v>27</v>
      </c>
      <c r="AS119" s="407">
        <v>59</v>
      </c>
      <c r="AT119" s="407"/>
      <c r="AU119" s="407"/>
      <c r="AV119" s="407"/>
      <c r="AW119" s="407"/>
      <c r="AX119" s="407"/>
      <c r="AY119" s="407"/>
      <c r="AZ119" s="407"/>
      <c r="BA119" s="407"/>
      <c r="BB119" s="407"/>
      <c r="BC119" s="407"/>
      <c r="BD119" s="407"/>
      <c r="BE119" s="407"/>
      <c r="BF119" s="407"/>
      <c r="BG119" s="407"/>
      <c r="BH119" s="407"/>
      <c r="BI119" s="407"/>
      <c r="BJ119" s="407"/>
      <c r="BK119" s="407"/>
      <c r="BL119" s="407"/>
      <c r="BM119" s="407"/>
      <c r="BN119" s="407"/>
      <c r="BO119" s="407"/>
      <c r="BP119" s="407"/>
      <c r="BQ119" s="407"/>
      <c r="BR119" s="407"/>
      <c r="BS119" s="407"/>
      <c r="BT119" s="407"/>
      <c r="BU119" s="407"/>
      <c r="BV119" s="407"/>
      <c r="BW119" s="407"/>
      <c r="BX119" s="407"/>
      <c r="BY119" s="407"/>
      <c r="BZ119" s="407"/>
      <c r="CA119" s="407"/>
      <c r="CB119" s="407"/>
      <c r="CC119" s="407"/>
      <c r="CD119" s="407"/>
      <c r="CE119" s="407"/>
      <c r="CF119" s="407"/>
      <c r="CG119" s="407"/>
      <c r="CH119" s="407"/>
      <c r="CI119" s="407"/>
      <c r="CJ119" s="407"/>
      <c r="CK119" s="407"/>
      <c r="CL119" s="407"/>
    </row>
    <row r="120" spans="1:90" s="80" customFormat="1" ht="11.25">
      <c r="B120" s="414"/>
      <c r="C120" s="406"/>
      <c r="D120" s="80" t="s">
        <v>1</v>
      </c>
      <c r="F120" s="407"/>
      <c r="G120" s="407"/>
      <c r="H120" s="407"/>
      <c r="I120" s="407"/>
      <c r="J120" s="407"/>
      <c r="K120" s="407">
        <v>18203.28</v>
      </c>
      <c r="L120" s="407">
        <v>29257.74</v>
      </c>
      <c r="M120" s="407">
        <v>26747.8</v>
      </c>
      <c r="N120" s="407">
        <v>15760.74</v>
      </c>
      <c r="O120" s="407">
        <v>7776.37</v>
      </c>
      <c r="P120" s="407">
        <v>14670.77</v>
      </c>
      <c r="Q120" s="407">
        <v>20995.78</v>
      </c>
      <c r="R120" s="407">
        <v>33590.68</v>
      </c>
      <c r="S120" s="407">
        <v>28171.93</v>
      </c>
      <c r="T120" s="407">
        <v>12926.83</v>
      </c>
      <c r="U120" s="407">
        <v>24005.43</v>
      </c>
      <c r="V120" s="407">
        <v>31773.06</v>
      </c>
      <c r="W120" s="407">
        <v>11941.64</v>
      </c>
      <c r="X120" s="407">
        <v>32421.03</v>
      </c>
      <c r="Y120" s="407">
        <v>49804.35</v>
      </c>
      <c r="Z120" s="407">
        <v>15546.89</v>
      </c>
      <c r="AA120" s="407">
        <v>18158.240000000002</v>
      </c>
      <c r="AB120" s="407">
        <v>25000.47</v>
      </c>
      <c r="AC120" s="407">
        <v>8787.24</v>
      </c>
      <c r="AD120" s="407">
        <v>10687.19</v>
      </c>
      <c r="AE120" s="407">
        <v>72340.58</v>
      </c>
      <c r="AF120" s="407">
        <v>5894.01</v>
      </c>
      <c r="AG120" s="407">
        <v>14323.86</v>
      </c>
      <c r="AH120" s="407">
        <v>20871.22</v>
      </c>
      <c r="AI120" s="407">
        <v>6983.96</v>
      </c>
      <c r="AJ120" s="407">
        <v>7057.98</v>
      </c>
      <c r="AK120" s="407">
        <v>27864.33</v>
      </c>
      <c r="AL120" s="407">
        <v>31057.48</v>
      </c>
      <c r="AM120" s="407">
        <v>29330.19</v>
      </c>
      <c r="AN120" s="407">
        <v>29782.37</v>
      </c>
      <c r="AO120" s="407">
        <v>24341.94</v>
      </c>
      <c r="AP120" s="407">
        <v>20088.61</v>
      </c>
      <c r="AQ120" s="407">
        <v>10922.03</v>
      </c>
      <c r="AR120" s="407">
        <v>9362.69</v>
      </c>
      <c r="AS120" s="407">
        <v>47826.65</v>
      </c>
      <c r="AT120" s="407"/>
      <c r="AU120" s="407"/>
      <c r="AV120" s="407"/>
      <c r="AW120" s="407"/>
      <c r="AX120" s="407"/>
      <c r="AY120" s="407"/>
      <c r="AZ120" s="407"/>
      <c r="BA120" s="407"/>
      <c r="BB120" s="407"/>
      <c r="BC120" s="407"/>
      <c r="BD120" s="407"/>
      <c r="BE120" s="407"/>
      <c r="BF120" s="407"/>
      <c r="BG120" s="407"/>
      <c r="BH120" s="407"/>
      <c r="BI120" s="407"/>
      <c r="BJ120" s="407"/>
      <c r="BK120" s="407"/>
      <c r="BL120" s="407"/>
      <c r="BM120" s="407"/>
      <c r="BN120" s="407"/>
      <c r="BO120" s="407"/>
      <c r="BP120" s="407"/>
      <c r="BQ120" s="407"/>
      <c r="BR120" s="407"/>
      <c r="BS120" s="407"/>
      <c r="BT120" s="407"/>
      <c r="BU120" s="407"/>
      <c r="BV120" s="407"/>
      <c r="BW120" s="407"/>
      <c r="BX120" s="407"/>
      <c r="BY120" s="407"/>
      <c r="BZ120" s="407"/>
      <c r="CA120" s="407"/>
      <c r="CB120" s="407"/>
      <c r="CC120" s="407"/>
      <c r="CD120" s="407"/>
      <c r="CE120" s="407"/>
      <c r="CF120" s="407"/>
      <c r="CG120" s="407"/>
      <c r="CH120" s="407"/>
      <c r="CI120" s="407"/>
      <c r="CJ120" s="407"/>
      <c r="CK120" s="407"/>
      <c r="CL120" s="407"/>
    </row>
    <row r="121" spans="1:90" s="80" customFormat="1" ht="11.25">
      <c r="B121" s="414" t="s">
        <v>211</v>
      </c>
      <c r="C121" s="406">
        <v>2010</v>
      </c>
      <c r="D121" s="80" t="s">
        <v>14</v>
      </c>
      <c r="E121" s="418">
        <v>40441</v>
      </c>
      <c r="F121" s="407"/>
      <c r="G121" s="407"/>
      <c r="H121" s="407"/>
      <c r="I121" s="407"/>
      <c r="J121" s="407"/>
      <c r="K121" s="407">
        <v>398</v>
      </c>
      <c r="L121" s="407">
        <v>596</v>
      </c>
      <c r="M121" s="407">
        <v>282</v>
      </c>
      <c r="N121" s="407">
        <v>246</v>
      </c>
      <c r="O121" s="407">
        <v>239</v>
      </c>
      <c r="P121" s="407">
        <v>184</v>
      </c>
      <c r="Q121" s="407">
        <v>396</v>
      </c>
      <c r="R121" s="407">
        <v>538</v>
      </c>
      <c r="S121" s="407">
        <v>404</v>
      </c>
      <c r="T121" s="407">
        <v>132</v>
      </c>
      <c r="U121" s="407">
        <v>732</v>
      </c>
      <c r="V121" s="407">
        <v>40</v>
      </c>
      <c r="W121" s="407">
        <v>16</v>
      </c>
      <c r="X121" s="407">
        <v>155</v>
      </c>
      <c r="Y121" s="407">
        <v>61</v>
      </c>
      <c r="Z121" s="407">
        <v>23</v>
      </c>
      <c r="AA121" s="407">
        <v>16</v>
      </c>
      <c r="AB121" s="407" t="s">
        <v>61</v>
      </c>
      <c r="AC121" s="407">
        <v>48</v>
      </c>
      <c r="AD121" s="407">
        <v>21</v>
      </c>
      <c r="AE121" s="407">
        <v>55</v>
      </c>
      <c r="AF121" s="407">
        <v>38</v>
      </c>
      <c r="AG121" s="407">
        <v>98</v>
      </c>
      <c r="AH121" s="407">
        <v>68</v>
      </c>
      <c r="AI121" s="407">
        <v>21</v>
      </c>
      <c r="AJ121" s="407">
        <v>81</v>
      </c>
      <c r="AK121" s="407">
        <v>79</v>
      </c>
      <c r="AL121" s="407">
        <v>29</v>
      </c>
      <c r="AM121" s="407">
        <v>7</v>
      </c>
      <c r="AN121" s="407">
        <v>493</v>
      </c>
      <c r="AO121" s="407">
        <v>203</v>
      </c>
      <c r="AP121" s="407">
        <v>17</v>
      </c>
      <c r="AQ121" s="407">
        <v>124</v>
      </c>
      <c r="AR121" s="407">
        <v>28</v>
      </c>
      <c r="AS121" s="407">
        <v>371</v>
      </c>
      <c r="AT121" s="407"/>
      <c r="AU121" s="407"/>
      <c r="AV121" s="407"/>
      <c r="AW121" s="407"/>
      <c r="AX121" s="407"/>
      <c r="AY121" s="407"/>
      <c r="AZ121" s="407"/>
      <c r="BA121" s="407"/>
      <c r="BB121" s="407"/>
      <c r="BC121" s="407"/>
      <c r="BD121" s="407"/>
      <c r="BE121" s="407"/>
      <c r="BF121" s="407"/>
      <c r="BG121" s="407"/>
      <c r="BH121" s="407"/>
      <c r="BI121" s="407"/>
      <c r="BJ121" s="407"/>
      <c r="BK121" s="407"/>
      <c r="BL121" s="407"/>
      <c r="BM121" s="407"/>
      <c r="BN121" s="407"/>
      <c r="BO121" s="407"/>
      <c r="BP121" s="407"/>
      <c r="BQ121" s="407"/>
      <c r="BR121" s="407"/>
      <c r="BS121" s="407"/>
      <c r="BT121" s="407"/>
      <c r="BU121" s="407"/>
      <c r="BV121" s="407"/>
      <c r="BW121" s="407"/>
      <c r="BX121" s="407"/>
      <c r="BY121" s="407"/>
      <c r="BZ121" s="407"/>
      <c r="CA121" s="407"/>
      <c r="CB121" s="407"/>
      <c r="CC121" s="407"/>
      <c r="CD121" s="407"/>
      <c r="CE121" s="407"/>
      <c r="CF121" s="407"/>
      <c r="CG121" s="407"/>
      <c r="CH121" s="407"/>
      <c r="CI121" s="407"/>
      <c r="CJ121" s="407"/>
      <c r="CK121" s="407"/>
      <c r="CL121" s="407"/>
    </row>
    <row r="122" spans="1:90" s="80" customFormat="1" ht="11.25">
      <c r="B122" s="414"/>
      <c r="C122" s="406"/>
      <c r="D122" s="80" t="s">
        <v>1</v>
      </c>
      <c r="F122" s="407"/>
      <c r="G122" s="407"/>
      <c r="H122" s="407"/>
      <c r="I122" s="407"/>
      <c r="J122" s="407"/>
      <c r="K122" s="407">
        <v>359.48</v>
      </c>
      <c r="L122" s="407">
        <v>528.95000000000005</v>
      </c>
      <c r="M122" s="407">
        <v>290.68</v>
      </c>
      <c r="N122" s="407">
        <v>310.51</v>
      </c>
      <c r="O122" s="407">
        <v>119.56</v>
      </c>
      <c r="P122" s="407">
        <v>180.21</v>
      </c>
      <c r="Q122" s="407">
        <v>604.95000000000005</v>
      </c>
      <c r="R122" s="407">
        <v>582.64</v>
      </c>
      <c r="S122" s="407">
        <v>556.91</v>
      </c>
      <c r="T122" s="407">
        <v>74.989999999999995</v>
      </c>
      <c r="U122" s="407">
        <v>561.22</v>
      </c>
      <c r="V122" s="407">
        <v>79.45</v>
      </c>
      <c r="W122" s="407">
        <v>39.14</v>
      </c>
      <c r="X122" s="407">
        <v>280.74</v>
      </c>
      <c r="Y122" s="407">
        <v>77.97</v>
      </c>
      <c r="Z122" s="407">
        <v>54.51</v>
      </c>
      <c r="AA122" s="407">
        <v>9.93</v>
      </c>
      <c r="AB122" s="407" t="s">
        <v>61</v>
      </c>
      <c r="AC122" s="407">
        <v>65.58</v>
      </c>
      <c r="AD122" s="407">
        <v>29.81</v>
      </c>
      <c r="AE122" s="407">
        <v>68.790000000000006</v>
      </c>
      <c r="AF122" s="407">
        <v>36.619999999999997</v>
      </c>
      <c r="AG122" s="407">
        <v>45.79</v>
      </c>
      <c r="AH122" s="407">
        <v>151.69</v>
      </c>
      <c r="AI122" s="407">
        <v>42.2</v>
      </c>
      <c r="AJ122" s="407">
        <v>77.03</v>
      </c>
      <c r="AK122" s="407">
        <v>69.67</v>
      </c>
      <c r="AL122" s="407">
        <v>65.63</v>
      </c>
      <c r="AM122" s="407">
        <v>10.07</v>
      </c>
      <c r="AN122" s="407">
        <v>440.02</v>
      </c>
      <c r="AO122" s="407">
        <v>198.6</v>
      </c>
      <c r="AP122" s="407">
        <v>28.92</v>
      </c>
      <c r="AQ122" s="407">
        <v>42.68</v>
      </c>
      <c r="AR122" s="407">
        <v>40.46</v>
      </c>
      <c r="AS122" s="407">
        <v>325.3</v>
      </c>
      <c r="AT122" s="407"/>
      <c r="AU122" s="407"/>
      <c r="AV122" s="407"/>
      <c r="AW122" s="407"/>
      <c r="AX122" s="407"/>
      <c r="AY122" s="407"/>
      <c r="AZ122" s="407"/>
      <c r="BA122" s="407"/>
      <c r="BB122" s="407"/>
      <c r="BC122" s="407"/>
      <c r="BD122" s="407"/>
      <c r="BE122" s="407"/>
      <c r="BF122" s="407"/>
      <c r="BG122" s="407"/>
      <c r="BH122" s="407"/>
      <c r="BI122" s="407"/>
      <c r="BJ122" s="407"/>
      <c r="BK122" s="407"/>
      <c r="BL122" s="407"/>
      <c r="BM122" s="407"/>
      <c r="BN122" s="407"/>
      <c r="BO122" s="407"/>
      <c r="BP122" s="407"/>
      <c r="BQ122" s="407"/>
      <c r="BR122" s="407"/>
      <c r="BS122" s="407"/>
      <c r="BT122" s="407"/>
      <c r="BU122" s="407"/>
      <c r="BV122" s="407"/>
      <c r="BW122" s="407"/>
      <c r="BX122" s="407"/>
      <c r="BY122" s="407"/>
      <c r="BZ122" s="407"/>
      <c r="CA122" s="407"/>
      <c r="CB122" s="407"/>
      <c r="CC122" s="407"/>
      <c r="CD122" s="407"/>
      <c r="CE122" s="407"/>
      <c r="CF122" s="407"/>
      <c r="CG122" s="407"/>
      <c r="CH122" s="407"/>
      <c r="CI122" s="407"/>
      <c r="CJ122" s="407"/>
      <c r="CK122" s="407"/>
      <c r="CL122" s="407"/>
    </row>
    <row r="123" spans="1:90" s="80" customFormat="1" ht="11.25">
      <c r="B123" s="414" t="s">
        <v>254</v>
      </c>
      <c r="C123" s="406">
        <v>2010</v>
      </c>
      <c r="D123" s="80" t="s">
        <v>14</v>
      </c>
      <c r="E123" s="418">
        <v>40648</v>
      </c>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07"/>
      <c r="AO123" s="407"/>
      <c r="AP123" s="407"/>
      <c r="AQ123" s="407"/>
      <c r="AR123" s="407"/>
      <c r="AS123" s="407"/>
      <c r="AT123" s="407"/>
      <c r="AU123" s="407"/>
      <c r="AV123" s="407"/>
      <c r="AW123" s="407"/>
      <c r="AX123" s="407"/>
      <c r="AY123" s="407"/>
      <c r="AZ123" s="407"/>
      <c r="BA123" s="407"/>
      <c r="BB123" s="407"/>
      <c r="BC123" s="407"/>
      <c r="BD123" s="407"/>
      <c r="BE123" s="407"/>
      <c r="BF123" s="407"/>
      <c r="BG123" s="407"/>
      <c r="BH123" s="407"/>
      <c r="BI123" s="407"/>
      <c r="BJ123" s="407"/>
      <c r="BK123" s="407"/>
      <c r="BL123" s="407"/>
      <c r="BM123" s="407"/>
      <c r="BN123" s="407"/>
      <c r="BO123" s="407"/>
      <c r="BP123" s="407"/>
      <c r="BQ123" s="407"/>
      <c r="BR123" s="407"/>
      <c r="BS123" s="407"/>
      <c r="BT123" s="407"/>
      <c r="BU123" s="407"/>
      <c r="BV123" s="407"/>
      <c r="BW123" s="407"/>
      <c r="BX123" s="407"/>
      <c r="BY123" s="407"/>
      <c r="BZ123" s="407"/>
      <c r="CA123" s="407"/>
      <c r="CB123" s="407"/>
      <c r="CC123" s="407"/>
      <c r="CD123" s="407"/>
      <c r="CE123" s="407"/>
      <c r="CF123" s="407"/>
      <c r="CG123" s="407"/>
      <c r="CH123" s="407"/>
      <c r="CI123" s="407"/>
      <c r="CJ123" s="407"/>
      <c r="CK123" s="407"/>
      <c r="CL123" s="407"/>
    </row>
    <row r="124" spans="1:90" s="80" customFormat="1" ht="11.25">
      <c r="B124" s="414" t="s">
        <v>255</v>
      </c>
      <c r="C124" s="406">
        <v>2010</v>
      </c>
      <c r="D124" s="80" t="s">
        <v>14</v>
      </c>
      <c r="E124" s="418">
        <v>40652</v>
      </c>
      <c r="F124" s="407"/>
      <c r="G124" s="407"/>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c r="AV124" s="407"/>
      <c r="AW124" s="407"/>
      <c r="AX124" s="407"/>
      <c r="AY124" s="407"/>
      <c r="AZ124" s="407"/>
      <c r="BA124" s="407"/>
      <c r="BB124" s="407"/>
      <c r="BC124" s="407"/>
      <c r="BD124" s="407"/>
      <c r="BE124" s="407"/>
      <c r="BF124" s="407"/>
      <c r="BG124" s="407"/>
      <c r="BH124" s="407"/>
      <c r="BI124" s="407"/>
      <c r="BJ124" s="407"/>
      <c r="BK124" s="407"/>
      <c r="BL124" s="407"/>
      <c r="BM124" s="407"/>
      <c r="BN124" s="407"/>
      <c r="BO124" s="407"/>
      <c r="BP124" s="407"/>
      <c r="BQ124" s="407"/>
      <c r="BR124" s="407"/>
      <c r="BS124" s="407"/>
      <c r="BT124" s="407"/>
      <c r="BU124" s="407"/>
      <c r="BV124" s="407"/>
      <c r="BW124" s="407"/>
      <c r="BX124" s="407"/>
      <c r="BY124" s="407"/>
      <c r="BZ124" s="407"/>
      <c r="CA124" s="407"/>
      <c r="CB124" s="407"/>
      <c r="CC124" s="407"/>
      <c r="CD124" s="407"/>
      <c r="CE124" s="407"/>
      <c r="CF124" s="407"/>
      <c r="CG124" s="407"/>
      <c r="CH124" s="407"/>
      <c r="CI124" s="407"/>
      <c r="CJ124" s="407"/>
      <c r="CK124" s="407"/>
      <c r="CL124" s="407"/>
    </row>
    <row r="125" spans="1:90" s="80" customFormat="1" ht="11.25">
      <c r="B125" s="414" t="s">
        <v>256</v>
      </c>
      <c r="C125" s="406">
        <v>2010</v>
      </c>
      <c r="D125" s="80" t="s">
        <v>14</v>
      </c>
      <c r="E125" s="418">
        <v>40652</v>
      </c>
      <c r="F125" s="407"/>
      <c r="G125" s="407"/>
      <c r="H125" s="407"/>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407"/>
      <c r="BR125" s="407"/>
      <c r="BS125" s="407"/>
      <c r="BT125" s="407"/>
      <c r="BU125" s="407"/>
      <c r="BV125" s="407"/>
      <c r="BW125" s="407"/>
      <c r="BX125" s="407"/>
      <c r="BY125" s="407"/>
      <c r="BZ125" s="407"/>
      <c r="CA125" s="407"/>
      <c r="CB125" s="407"/>
      <c r="CC125" s="407"/>
      <c r="CD125" s="407"/>
      <c r="CE125" s="407"/>
      <c r="CF125" s="407"/>
      <c r="CG125" s="407"/>
      <c r="CH125" s="407"/>
      <c r="CI125" s="407"/>
      <c r="CJ125" s="407"/>
      <c r="CK125" s="407"/>
      <c r="CL125" s="407"/>
    </row>
  </sheetData>
  <phoneticPr fontId="0" type="noConversion"/>
  <printOptions horizontalCentered="1"/>
  <pageMargins left="0.39370078740157483" right="0.39370078740157483" top="0.59055118110236227" bottom="0.59055118110236227" header="0.51181102362204722" footer="0.39370078740157483"/>
  <pageSetup paperSize="8" scale="85" orientation="portrait" r:id="rId1"/>
  <headerFooter alignWithMargins="0"/>
  <rowBreaks count="1" manualBreakCount="1">
    <brk id="98" min="1" max="88"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6"/>
  <sheetViews>
    <sheetView zoomScaleNormal="100" workbookViewId="0">
      <pane xSplit="5" ySplit="4" topLeftCell="F5" activePane="bottomRight" state="frozen"/>
      <selection activeCell="E106" sqref="E106"/>
      <selection pane="topRight" activeCell="E106" sqref="E106"/>
      <selection pane="bottomLeft" activeCell="E106" sqref="E106"/>
      <selection pane="bottomRight" activeCell="F5" sqref="F5"/>
    </sheetView>
  </sheetViews>
  <sheetFormatPr baseColWidth="10" defaultRowHeight="12.75"/>
  <cols>
    <col min="1" max="1" width="4" bestFit="1" customWidth="1"/>
    <col min="2" max="2" width="39" style="66" customWidth="1"/>
    <col min="3" max="3" width="6.85546875" style="238" customWidth="1"/>
    <col min="4" max="4" width="12.5703125" bestFit="1" customWidth="1"/>
    <col min="5" max="5" width="8.7109375" style="79" customWidth="1"/>
    <col min="6" max="89" width="11.42578125" style="166"/>
    <col min="90" max="90" width="17.85546875" style="166" bestFit="1" customWidth="1"/>
  </cols>
  <sheetData>
    <row r="1" spans="1:91" ht="13.5" thickBot="1">
      <c r="B1" s="81" t="s">
        <v>198</v>
      </c>
      <c r="E1" s="80"/>
    </row>
    <row r="2" spans="1:91">
      <c r="B2" s="94"/>
      <c r="C2" s="239"/>
      <c r="D2" s="96"/>
      <c r="E2" s="350" t="s">
        <v>215</v>
      </c>
      <c r="F2" s="167" t="s">
        <v>149</v>
      </c>
      <c r="G2" s="168" t="s">
        <v>149</v>
      </c>
      <c r="H2" s="168" t="s">
        <v>149</v>
      </c>
      <c r="I2" s="169" t="s">
        <v>149</v>
      </c>
      <c r="J2" s="168"/>
      <c r="K2" s="167" t="s">
        <v>167</v>
      </c>
      <c r="L2" s="168" t="s">
        <v>167</v>
      </c>
      <c r="M2" s="168" t="s">
        <v>167</v>
      </c>
      <c r="N2" s="168" t="s">
        <v>167</v>
      </c>
      <c r="O2" s="168" t="s">
        <v>167</v>
      </c>
      <c r="P2" s="168" t="s">
        <v>167</v>
      </c>
      <c r="Q2" s="168" t="s">
        <v>167</v>
      </c>
      <c r="R2" s="168" t="s">
        <v>167</v>
      </c>
      <c r="S2" s="168" t="s">
        <v>167</v>
      </c>
      <c r="T2" s="168" t="s">
        <v>167</v>
      </c>
      <c r="U2" s="170" t="s">
        <v>167</v>
      </c>
      <c r="V2" s="168" t="s">
        <v>167</v>
      </c>
      <c r="W2" s="168" t="s">
        <v>167</v>
      </c>
      <c r="X2" s="168" t="s">
        <v>167</v>
      </c>
      <c r="Y2" s="168" t="s">
        <v>167</v>
      </c>
      <c r="Z2" s="168" t="s">
        <v>167</v>
      </c>
      <c r="AA2" s="168" t="s">
        <v>167</v>
      </c>
      <c r="AB2" s="170" t="s">
        <v>167</v>
      </c>
      <c r="AC2" s="168" t="s">
        <v>167</v>
      </c>
      <c r="AD2" s="168" t="s">
        <v>167</v>
      </c>
      <c r="AE2" s="168" t="s">
        <v>167</v>
      </c>
      <c r="AF2" s="168" t="s">
        <v>167</v>
      </c>
      <c r="AG2" s="168" t="s">
        <v>167</v>
      </c>
      <c r="AH2" s="168" t="s">
        <v>167</v>
      </c>
      <c r="AI2" s="168" t="s">
        <v>167</v>
      </c>
      <c r="AJ2" s="168" t="s">
        <v>167</v>
      </c>
      <c r="AK2" s="170" t="s">
        <v>167</v>
      </c>
      <c r="AL2" s="168" t="s">
        <v>167</v>
      </c>
      <c r="AM2" s="168" t="s">
        <v>167</v>
      </c>
      <c r="AN2" s="168" t="s">
        <v>167</v>
      </c>
      <c r="AO2" s="168" t="s">
        <v>167</v>
      </c>
      <c r="AP2" s="168" t="s">
        <v>167</v>
      </c>
      <c r="AQ2" s="168" t="s">
        <v>167</v>
      </c>
      <c r="AR2" s="168" t="s">
        <v>167</v>
      </c>
      <c r="AS2" s="169" t="s">
        <v>167</v>
      </c>
      <c r="AT2" s="168" t="s">
        <v>111</v>
      </c>
      <c r="AU2" s="168" t="s">
        <v>112</v>
      </c>
      <c r="AV2" s="168" t="s">
        <v>112</v>
      </c>
      <c r="AW2" s="168" t="s">
        <v>112</v>
      </c>
      <c r="AX2" s="168" t="s">
        <v>112</v>
      </c>
      <c r="AY2" s="168" t="s">
        <v>112</v>
      </c>
      <c r="AZ2" s="168" t="s">
        <v>111</v>
      </c>
      <c r="BA2" s="168" t="s">
        <v>112</v>
      </c>
      <c r="BB2" s="168" t="s">
        <v>112</v>
      </c>
      <c r="BC2" s="168" t="s">
        <v>112</v>
      </c>
      <c r="BD2" s="168" t="s">
        <v>112</v>
      </c>
      <c r="BE2" s="168" t="s">
        <v>112</v>
      </c>
      <c r="BF2" s="170" t="s">
        <v>112</v>
      </c>
      <c r="BG2" s="168" t="s">
        <v>111</v>
      </c>
      <c r="BH2" s="168" t="s">
        <v>111</v>
      </c>
      <c r="BI2" s="168" t="s">
        <v>112</v>
      </c>
      <c r="BJ2" s="168" t="s">
        <v>112</v>
      </c>
      <c r="BK2" s="168" t="s">
        <v>111</v>
      </c>
      <c r="BL2" s="168" t="s">
        <v>111</v>
      </c>
      <c r="BM2" s="168" t="s">
        <v>112</v>
      </c>
      <c r="BN2" s="168" t="s">
        <v>112</v>
      </c>
      <c r="BO2" s="168" t="s">
        <v>111</v>
      </c>
      <c r="BP2" s="168" t="s">
        <v>112</v>
      </c>
      <c r="BQ2" s="168" t="s">
        <v>112</v>
      </c>
      <c r="BR2" s="170" t="s">
        <v>112</v>
      </c>
      <c r="BS2" s="168" t="s">
        <v>111</v>
      </c>
      <c r="BT2" s="168" t="s">
        <v>112</v>
      </c>
      <c r="BU2" s="168" t="s">
        <v>112</v>
      </c>
      <c r="BV2" s="168" t="s">
        <v>112</v>
      </c>
      <c r="BW2" s="168" t="s">
        <v>112</v>
      </c>
      <c r="BX2" s="168" t="s">
        <v>112</v>
      </c>
      <c r="BY2" s="168" t="s">
        <v>112</v>
      </c>
      <c r="BZ2" s="168" t="s">
        <v>112</v>
      </c>
      <c r="CA2" s="168" t="s">
        <v>112</v>
      </c>
      <c r="CB2" s="170" t="s">
        <v>112</v>
      </c>
      <c r="CC2" s="168" t="s">
        <v>112</v>
      </c>
      <c r="CD2" s="168" t="s">
        <v>112</v>
      </c>
      <c r="CE2" s="168" t="s">
        <v>112</v>
      </c>
      <c r="CF2" s="168" t="s">
        <v>111</v>
      </c>
      <c r="CG2" s="168" t="s">
        <v>112</v>
      </c>
      <c r="CH2" s="168" t="s">
        <v>112</v>
      </c>
      <c r="CI2" s="168" t="s">
        <v>112</v>
      </c>
      <c r="CJ2" s="168" t="s">
        <v>112</v>
      </c>
      <c r="CK2" s="169" t="s">
        <v>112</v>
      </c>
      <c r="CL2" s="171" t="s">
        <v>150</v>
      </c>
    </row>
    <row r="3" spans="1:91">
      <c r="B3" s="97" t="s">
        <v>102</v>
      </c>
      <c r="C3" s="240"/>
      <c r="D3" s="100"/>
      <c r="E3" s="99"/>
      <c r="F3" s="172" t="s">
        <v>110</v>
      </c>
      <c r="G3" s="173" t="s">
        <v>125</v>
      </c>
      <c r="H3" s="173" t="s">
        <v>132</v>
      </c>
      <c r="I3" s="174" t="s">
        <v>142</v>
      </c>
      <c r="J3" s="173"/>
      <c r="K3" s="290">
        <v>1101</v>
      </c>
      <c r="L3" s="291">
        <v>1110</v>
      </c>
      <c r="M3" s="291">
        <v>1121</v>
      </c>
      <c r="N3" s="291">
        <v>1130</v>
      </c>
      <c r="O3" s="291">
        <v>1140</v>
      </c>
      <c r="P3" s="291">
        <v>1150</v>
      </c>
      <c r="Q3" s="291">
        <v>1161</v>
      </c>
      <c r="R3" s="291">
        <v>1170</v>
      </c>
      <c r="S3" s="291">
        <v>1180</v>
      </c>
      <c r="T3" s="291">
        <v>1190</v>
      </c>
      <c r="U3" s="292">
        <v>1200</v>
      </c>
      <c r="V3" s="291">
        <v>2100</v>
      </c>
      <c r="W3" s="291">
        <v>2110</v>
      </c>
      <c r="X3" s="291">
        <v>2121</v>
      </c>
      <c r="Y3" s="291">
        <v>2131</v>
      </c>
      <c r="Z3" s="291">
        <v>2141</v>
      </c>
      <c r="AA3" s="291">
        <v>2150</v>
      </c>
      <c r="AB3" s="292">
        <v>2160</v>
      </c>
      <c r="AC3" s="291">
        <v>3100</v>
      </c>
      <c r="AD3" s="291">
        <v>3110</v>
      </c>
      <c r="AE3" s="291">
        <v>3120</v>
      </c>
      <c r="AF3" s="291">
        <v>3130</v>
      </c>
      <c r="AG3" s="291">
        <v>3140</v>
      </c>
      <c r="AH3" s="291">
        <v>3151</v>
      </c>
      <c r="AI3" s="291">
        <v>3160</v>
      </c>
      <c r="AJ3" s="291">
        <v>3170</v>
      </c>
      <c r="AK3" s="292">
        <v>3180</v>
      </c>
      <c r="AL3" s="291">
        <v>4100</v>
      </c>
      <c r="AM3" s="291">
        <v>4110</v>
      </c>
      <c r="AN3" s="291">
        <v>4120</v>
      </c>
      <c r="AO3" s="291">
        <v>4131</v>
      </c>
      <c r="AP3" s="291">
        <v>4140</v>
      </c>
      <c r="AQ3" s="291">
        <v>4150</v>
      </c>
      <c r="AR3" s="291">
        <v>4160</v>
      </c>
      <c r="AS3" s="293">
        <v>4170</v>
      </c>
      <c r="AT3" s="173" t="s">
        <v>110</v>
      </c>
      <c r="AU3" s="173" t="s">
        <v>114</v>
      </c>
      <c r="AV3" s="173" t="s">
        <v>115</v>
      </c>
      <c r="AW3" s="173" t="s">
        <v>116</v>
      </c>
      <c r="AX3" s="173" t="s">
        <v>113</v>
      </c>
      <c r="AY3" s="173" t="s">
        <v>117</v>
      </c>
      <c r="AZ3" s="173" t="s">
        <v>118</v>
      </c>
      <c r="BA3" s="173" t="s">
        <v>118</v>
      </c>
      <c r="BB3" s="173" t="s">
        <v>119</v>
      </c>
      <c r="BC3" s="173" t="s">
        <v>120</v>
      </c>
      <c r="BD3" s="173" t="s">
        <v>121</v>
      </c>
      <c r="BE3" s="173" t="s">
        <v>122</v>
      </c>
      <c r="BF3" s="175" t="s">
        <v>257</v>
      </c>
      <c r="BG3" s="173" t="s">
        <v>123</v>
      </c>
      <c r="BH3" s="173" t="s">
        <v>125</v>
      </c>
      <c r="BI3" s="173" t="s">
        <v>125</v>
      </c>
      <c r="BJ3" s="173" t="s">
        <v>124</v>
      </c>
      <c r="BK3" s="173" t="s">
        <v>126</v>
      </c>
      <c r="BL3" s="173" t="s">
        <v>127</v>
      </c>
      <c r="BM3" s="173" t="s">
        <v>128</v>
      </c>
      <c r="BN3" s="173" t="s">
        <v>126</v>
      </c>
      <c r="BO3" s="173" t="s">
        <v>129</v>
      </c>
      <c r="BP3" s="173" t="s">
        <v>130</v>
      </c>
      <c r="BQ3" s="173" t="s">
        <v>129</v>
      </c>
      <c r="BR3" s="175" t="s">
        <v>131</v>
      </c>
      <c r="BS3" s="173" t="s">
        <v>132</v>
      </c>
      <c r="BT3" s="173" t="s">
        <v>132</v>
      </c>
      <c r="BU3" s="173" t="s">
        <v>133</v>
      </c>
      <c r="BV3" s="173" t="s">
        <v>134</v>
      </c>
      <c r="BW3" s="173" t="s">
        <v>135</v>
      </c>
      <c r="BX3" s="173" t="s">
        <v>136</v>
      </c>
      <c r="BY3" s="173" t="s">
        <v>137</v>
      </c>
      <c r="BZ3" s="173" t="s">
        <v>138</v>
      </c>
      <c r="CA3" s="173" t="s">
        <v>139</v>
      </c>
      <c r="CB3" s="175" t="s">
        <v>140</v>
      </c>
      <c r="CC3" s="173" t="s">
        <v>141</v>
      </c>
      <c r="CD3" s="173" t="s">
        <v>142</v>
      </c>
      <c r="CE3" s="173" t="s">
        <v>143</v>
      </c>
      <c r="CF3" s="173" t="s">
        <v>144</v>
      </c>
      <c r="CG3" s="173" t="s">
        <v>144</v>
      </c>
      <c r="CH3" s="173" t="s">
        <v>145</v>
      </c>
      <c r="CI3" s="173" t="s">
        <v>146</v>
      </c>
      <c r="CJ3" s="173" t="s">
        <v>147</v>
      </c>
      <c r="CK3" s="174" t="s">
        <v>148</v>
      </c>
      <c r="CL3" s="176" t="s">
        <v>151</v>
      </c>
    </row>
    <row r="4" spans="1:91">
      <c r="B4" s="97"/>
      <c r="C4" s="240"/>
      <c r="D4" s="100"/>
      <c r="E4" s="99"/>
      <c r="F4" s="172" t="s">
        <v>163</v>
      </c>
      <c r="G4" s="173" t="s">
        <v>164</v>
      </c>
      <c r="H4" s="173" t="s">
        <v>165</v>
      </c>
      <c r="I4" s="174" t="s">
        <v>166</v>
      </c>
      <c r="J4" s="173"/>
      <c r="K4" s="172" t="s">
        <v>168</v>
      </c>
      <c r="L4" s="173" t="s">
        <v>169</v>
      </c>
      <c r="M4" s="173" t="s">
        <v>170</v>
      </c>
      <c r="N4" s="173" t="s">
        <v>27</v>
      </c>
      <c r="O4" s="173" t="s">
        <v>40</v>
      </c>
      <c r="P4" s="173" t="s">
        <v>244</v>
      </c>
      <c r="Q4" s="173" t="s">
        <v>219</v>
      </c>
      <c r="R4" s="173" t="s">
        <v>243</v>
      </c>
      <c r="S4" s="173" t="s">
        <v>218</v>
      </c>
      <c r="T4" s="173" t="s">
        <v>171</v>
      </c>
      <c r="U4" s="175" t="s">
        <v>172</v>
      </c>
      <c r="V4" s="173" t="s">
        <v>242</v>
      </c>
      <c r="W4" s="173" t="s">
        <v>173</v>
      </c>
      <c r="X4" s="173" t="s">
        <v>241</v>
      </c>
      <c r="Y4" s="173" t="s">
        <v>240</v>
      </c>
      <c r="Z4" s="173" t="s">
        <v>174</v>
      </c>
      <c r="AA4" s="173" t="s">
        <v>239</v>
      </c>
      <c r="AB4" s="175" t="s">
        <v>16</v>
      </c>
      <c r="AC4" s="173" t="s">
        <v>175</v>
      </c>
      <c r="AD4" s="173" t="s">
        <v>37</v>
      </c>
      <c r="AE4" s="173" t="s">
        <v>238</v>
      </c>
      <c r="AF4" s="173" t="s">
        <v>33</v>
      </c>
      <c r="AG4" s="173" t="s">
        <v>176</v>
      </c>
      <c r="AH4" s="173" t="s">
        <v>177</v>
      </c>
      <c r="AI4" s="173" t="s">
        <v>36</v>
      </c>
      <c r="AJ4" s="173" t="s">
        <v>35</v>
      </c>
      <c r="AK4" s="175" t="s">
        <v>32</v>
      </c>
      <c r="AL4" s="173" t="s">
        <v>178</v>
      </c>
      <c r="AM4" s="173" t="s">
        <v>25</v>
      </c>
      <c r="AN4" s="173" t="s">
        <v>29</v>
      </c>
      <c r="AO4" s="173" t="s">
        <v>179</v>
      </c>
      <c r="AP4" s="173" t="s">
        <v>30</v>
      </c>
      <c r="AQ4" s="173" t="s">
        <v>24</v>
      </c>
      <c r="AR4" s="173" t="s">
        <v>180</v>
      </c>
      <c r="AS4" s="174" t="s">
        <v>237</v>
      </c>
      <c r="AT4" s="173" t="s">
        <v>154</v>
      </c>
      <c r="AU4" s="173" t="s">
        <v>183</v>
      </c>
      <c r="AV4" s="173" t="s">
        <v>184</v>
      </c>
      <c r="AW4" s="173" t="s">
        <v>185</v>
      </c>
      <c r="AX4" s="173" t="s">
        <v>182</v>
      </c>
      <c r="AY4" s="173" t="s">
        <v>44</v>
      </c>
      <c r="AZ4" s="173" t="s">
        <v>152</v>
      </c>
      <c r="BA4" s="173" t="s">
        <v>153</v>
      </c>
      <c r="BB4" s="173" t="s">
        <v>45</v>
      </c>
      <c r="BC4" s="173" t="s">
        <v>26</v>
      </c>
      <c r="BD4" s="173" t="s">
        <v>46</v>
      </c>
      <c r="BE4" s="173" t="s">
        <v>186</v>
      </c>
      <c r="BF4" s="175" t="s">
        <v>39</v>
      </c>
      <c r="BG4" s="173" t="s">
        <v>155</v>
      </c>
      <c r="BH4" s="173" t="s">
        <v>156</v>
      </c>
      <c r="BI4" s="173" t="s">
        <v>157</v>
      </c>
      <c r="BJ4" s="173" t="s">
        <v>187</v>
      </c>
      <c r="BK4" s="173" t="s">
        <v>158</v>
      </c>
      <c r="BL4" s="173" t="s">
        <v>159</v>
      </c>
      <c r="BM4" s="173" t="s">
        <v>47</v>
      </c>
      <c r="BN4" s="173" t="s">
        <v>48</v>
      </c>
      <c r="BO4" s="173" t="s">
        <v>160</v>
      </c>
      <c r="BP4" s="173" t="s">
        <v>188</v>
      </c>
      <c r="BQ4" s="173" t="s">
        <v>41</v>
      </c>
      <c r="BR4" s="175" t="s">
        <v>38</v>
      </c>
      <c r="BS4" s="173" t="s">
        <v>161</v>
      </c>
      <c r="BT4" s="173" t="s">
        <v>213</v>
      </c>
      <c r="BU4" s="173" t="s">
        <v>189</v>
      </c>
      <c r="BV4" s="173" t="s">
        <v>28</v>
      </c>
      <c r="BW4" s="173" t="s">
        <v>190</v>
      </c>
      <c r="BX4" s="173" t="s">
        <v>49</v>
      </c>
      <c r="BY4" s="173" t="s">
        <v>191</v>
      </c>
      <c r="BZ4" s="173" t="s">
        <v>34</v>
      </c>
      <c r="CA4" s="173" t="s">
        <v>192</v>
      </c>
      <c r="CB4" s="175" t="s">
        <v>193</v>
      </c>
      <c r="CC4" s="173" t="s">
        <v>31</v>
      </c>
      <c r="CD4" s="173" t="s">
        <v>194</v>
      </c>
      <c r="CE4" s="173" t="s">
        <v>50</v>
      </c>
      <c r="CF4" s="173" t="s">
        <v>162</v>
      </c>
      <c r="CG4" s="173" t="s">
        <v>51</v>
      </c>
      <c r="CH4" s="173" t="s">
        <v>195</v>
      </c>
      <c r="CI4" s="173" t="s">
        <v>52</v>
      </c>
      <c r="CJ4" s="173" t="s">
        <v>196</v>
      </c>
      <c r="CK4" s="174" t="s">
        <v>197</v>
      </c>
      <c r="CL4" s="176" t="s">
        <v>55</v>
      </c>
    </row>
    <row r="5" spans="1:91">
      <c r="A5" s="93">
        <f>ROWS($A$3:A3)</f>
        <v>1</v>
      </c>
      <c r="B5" s="132"/>
      <c r="C5" s="133"/>
      <c r="D5" s="331"/>
      <c r="E5" s="331"/>
      <c r="F5" s="232">
        <f>COLUMNS($F$5:F5)</f>
        <v>1</v>
      </c>
      <c r="G5" s="232">
        <f>COLUMNS($F$5:G5)</f>
        <v>2</v>
      </c>
      <c r="H5" s="232">
        <f>COLUMNS($F$5:H5)</f>
        <v>3</v>
      </c>
      <c r="I5" s="233">
        <f>COLUMNS($F$5:I5)</f>
        <v>4</v>
      </c>
      <c r="J5" s="235">
        <f>COLUMNS($F$5:J5)</f>
        <v>5</v>
      </c>
      <c r="K5" s="232">
        <f>COLUMNS($F$5:K5)</f>
        <v>6</v>
      </c>
      <c r="L5" s="232">
        <f>COLUMNS($F$5:L5)</f>
        <v>7</v>
      </c>
      <c r="M5" s="232">
        <f>COLUMNS($F$5:M5)</f>
        <v>8</v>
      </c>
      <c r="N5" s="232">
        <f>COLUMNS($F$5:N5)</f>
        <v>9</v>
      </c>
      <c r="O5" s="232">
        <f>COLUMNS($F$5:O5)</f>
        <v>10</v>
      </c>
      <c r="P5" s="232">
        <f>COLUMNS($F$5:P5)</f>
        <v>11</v>
      </c>
      <c r="Q5" s="232">
        <f>COLUMNS($F$5:Q5)</f>
        <v>12</v>
      </c>
      <c r="R5" s="232">
        <f>COLUMNS($F$5:R5)</f>
        <v>13</v>
      </c>
      <c r="S5" s="232">
        <f>COLUMNS($F$5:S5)</f>
        <v>14</v>
      </c>
      <c r="T5" s="232">
        <f>COLUMNS($F$5:T5)</f>
        <v>15</v>
      </c>
      <c r="U5" s="234">
        <f>COLUMNS($F$5:U5)</f>
        <v>16</v>
      </c>
      <c r="V5" s="232">
        <f>COLUMNS($F$5:V5)</f>
        <v>17</v>
      </c>
      <c r="W5" s="232">
        <f>COLUMNS($F$5:W5)</f>
        <v>18</v>
      </c>
      <c r="X5" s="232">
        <f>COLUMNS($F$5:X5)</f>
        <v>19</v>
      </c>
      <c r="Y5" s="232">
        <f>COLUMNS($F$5:Y5)</f>
        <v>20</v>
      </c>
      <c r="Z5" s="232">
        <f>COLUMNS($F$5:Z5)</f>
        <v>21</v>
      </c>
      <c r="AA5" s="232">
        <f>COLUMNS($F$5:AA5)</f>
        <v>22</v>
      </c>
      <c r="AB5" s="234">
        <f>COLUMNS($F$5:AB5)</f>
        <v>23</v>
      </c>
      <c r="AC5" s="232">
        <f>COLUMNS($F$5:AC5)</f>
        <v>24</v>
      </c>
      <c r="AD5" s="232">
        <f>COLUMNS($F$5:AD5)</f>
        <v>25</v>
      </c>
      <c r="AE5" s="232">
        <f>COLUMNS($F$5:AE5)</f>
        <v>26</v>
      </c>
      <c r="AF5" s="232">
        <f>COLUMNS($F$5:AF5)</f>
        <v>27</v>
      </c>
      <c r="AG5" s="232">
        <f>COLUMNS($F$5:AG5)</f>
        <v>28</v>
      </c>
      <c r="AH5" s="232">
        <f>COLUMNS($F$5:AH5)</f>
        <v>29</v>
      </c>
      <c r="AI5" s="232">
        <f>COLUMNS($F$5:AI5)</f>
        <v>30</v>
      </c>
      <c r="AJ5" s="232">
        <f>COLUMNS($F$5:AJ5)</f>
        <v>31</v>
      </c>
      <c r="AK5" s="234">
        <f>COLUMNS($F$5:AK5)</f>
        <v>32</v>
      </c>
      <c r="AL5" s="232">
        <f>COLUMNS($F$5:AL5)</f>
        <v>33</v>
      </c>
      <c r="AM5" s="232">
        <f>COLUMNS($F$5:AM5)</f>
        <v>34</v>
      </c>
      <c r="AN5" s="232">
        <f>COLUMNS($F$5:AN5)</f>
        <v>35</v>
      </c>
      <c r="AO5" s="232">
        <f>COLUMNS($F$5:AO5)</f>
        <v>36</v>
      </c>
      <c r="AP5" s="232">
        <f>COLUMNS($F$5:AP5)</f>
        <v>37</v>
      </c>
      <c r="AQ5" s="232">
        <f>COLUMNS($F$5:AQ5)</f>
        <v>38</v>
      </c>
      <c r="AR5" s="232">
        <f>COLUMNS($F$5:AR5)</f>
        <v>39</v>
      </c>
      <c r="AS5" s="233">
        <f>COLUMNS($F$5:AS5)</f>
        <v>40</v>
      </c>
      <c r="AT5" s="232">
        <f>COLUMNS($F$5:AT5)</f>
        <v>41</v>
      </c>
      <c r="AU5" s="232">
        <f>COLUMNS($F$5:AU5)</f>
        <v>42</v>
      </c>
      <c r="AV5" s="232">
        <f>COLUMNS($F$5:AV5)</f>
        <v>43</v>
      </c>
      <c r="AW5" s="232">
        <f>COLUMNS($F$5:AW5)</f>
        <v>44</v>
      </c>
      <c r="AX5" s="232">
        <f>COLUMNS($F$5:AX5)</f>
        <v>45</v>
      </c>
      <c r="AY5" s="232">
        <f>COLUMNS($F$5:AY5)</f>
        <v>46</v>
      </c>
      <c r="AZ5" s="232">
        <f>COLUMNS($F$5:AZ5)</f>
        <v>47</v>
      </c>
      <c r="BA5" s="232">
        <f>COLUMNS($F$5:BA5)</f>
        <v>48</v>
      </c>
      <c r="BB5" s="232">
        <f>COLUMNS($F$5:BB5)</f>
        <v>49</v>
      </c>
      <c r="BC5" s="232">
        <f>COLUMNS($F$5:BC5)</f>
        <v>50</v>
      </c>
      <c r="BD5" s="232">
        <f>COLUMNS($F$5:BD5)</f>
        <v>51</v>
      </c>
      <c r="BE5" s="232">
        <f>COLUMNS($F$5:BE5)</f>
        <v>52</v>
      </c>
      <c r="BF5" s="234">
        <f>COLUMNS($F$5:BF5)</f>
        <v>53</v>
      </c>
      <c r="BG5" s="232">
        <f>COLUMNS($F$5:BG5)</f>
        <v>54</v>
      </c>
      <c r="BH5" s="232">
        <f>COLUMNS($F$5:BH5)</f>
        <v>55</v>
      </c>
      <c r="BI5" s="232">
        <f>COLUMNS($F$5:BI5)</f>
        <v>56</v>
      </c>
      <c r="BJ5" s="232">
        <f>COLUMNS($F$5:BJ5)</f>
        <v>57</v>
      </c>
      <c r="BK5" s="232">
        <f>COLUMNS($F$5:BK5)</f>
        <v>58</v>
      </c>
      <c r="BL5" s="232">
        <f>COLUMNS($F$5:BL5)</f>
        <v>59</v>
      </c>
      <c r="BM5" s="232">
        <f>COLUMNS($F$5:BM5)</f>
        <v>60</v>
      </c>
      <c r="BN5" s="232">
        <f>COLUMNS($F$5:BN5)</f>
        <v>61</v>
      </c>
      <c r="BO5" s="232">
        <f>COLUMNS($F$5:BO5)</f>
        <v>62</v>
      </c>
      <c r="BP5" s="232">
        <f>COLUMNS($F$5:BP5)</f>
        <v>63</v>
      </c>
      <c r="BQ5" s="232">
        <f>COLUMNS($F$5:BQ5)</f>
        <v>64</v>
      </c>
      <c r="BR5" s="234">
        <f>COLUMNS($F$5:BR5)</f>
        <v>65</v>
      </c>
      <c r="BS5" s="232">
        <f>COLUMNS($F$5:BS5)</f>
        <v>66</v>
      </c>
      <c r="BT5" s="232">
        <f>COLUMNS($F$5:BT5)</f>
        <v>67</v>
      </c>
      <c r="BU5" s="232">
        <f>COLUMNS($F$5:BU5)</f>
        <v>68</v>
      </c>
      <c r="BV5" s="232">
        <f>COLUMNS($F$5:BV5)</f>
        <v>69</v>
      </c>
      <c r="BW5" s="232">
        <f>COLUMNS($F$5:BW5)</f>
        <v>70</v>
      </c>
      <c r="BX5" s="232">
        <f>COLUMNS($F$5:BX5)</f>
        <v>71</v>
      </c>
      <c r="BY5" s="232">
        <f>COLUMNS($F$5:BY5)</f>
        <v>72</v>
      </c>
      <c r="BZ5" s="232">
        <f>COLUMNS($F$5:BZ5)</f>
        <v>73</v>
      </c>
      <c r="CA5" s="232">
        <f>COLUMNS($F$5:CA5)</f>
        <v>74</v>
      </c>
      <c r="CB5" s="234">
        <f>COLUMNS($F$5:CB5)</f>
        <v>75</v>
      </c>
      <c r="CC5" s="232">
        <f>COLUMNS($F$5:CC5)</f>
        <v>76</v>
      </c>
      <c r="CD5" s="232">
        <f>COLUMNS($F$5:CD5)</f>
        <v>77</v>
      </c>
      <c r="CE5" s="232">
        <f>COLUMNS($F$5:CE5)</f>
        <v>78</v>
      </c>
      <c r="CF5" s="232">
        <f>COLUMNS($F$5:CF5)</f>
        <v>79</v>
      </c>
      <c r="CG5" s="232">
        <f>COLUMNS($F$5:CG5)</f>
        <v>80</v>
      </c>
      <c r="CH5" s="232">
        <f>COLUMNS($F$5:CH5)</f>
        <v>81</v>
      </c>
      <c r="CI5" s="232">
        <f>COLUMNS($F$5:CI5)</f>
        <v>82</v>
      </c>
      <c r="CJ5" s="232">
        <f>COLUMNS($F$5:CJ5)</f>
        <v>83</v>
      </c>
      <c r="CK5" s="233">
        <f>COLUMNS($F$5:CK5)</f>
        <v>84</v>
      </c>
      <c r="CL5" s="233">
        <f>COLUMNS($F$5:CL5)</f>
        <v>85</v>
      </c>
      <c r="CM5" s="131"/>
    </row>
    <row r="6" spans="1:91">
      <c r="A6" s="93">
        <f>ROWS($A$3:A4)</f>
        <v>2</v>
      </c>
      <c r="B6" s="67" t="s">
        <v>108</v>
      </c>
      <c r="C6" s="241"/>
      <c r="D6" s="332"/>
      <c r="E6" s="333"/>
      <c r="F6" s="156"/>
      <c r="G6" s="177"/>
      <c r="H6" s="177"/>
      <c r="I6" s="178"/>
      <c r="J6" s="177"/>
      <c r="K6" s="156"/>
      <c r="L6" s="177"/>
      <c r="M6" s="177"/>
      <c r="N6" s="177"/>
      <c r="O6" s="177"/>
      <c r="P6" s="177"/>
      <c r="Q6" s="177"/>
      <c r="R6" s="177"/>
      <c r="S6" s="177"/>
      <c r="T6" s="177"/>
      <c r="U6" s="179"/>
      <c r="V6" s="177"/>
      <c r="W6" s="177"/>
      <c r="X6" s="177"/>
      <c r="Y6" s="177"/>
      <c r="Z6" s="177"/>
      <c r="AA6" s="177"/>
      <c r="AB6" s="179"/>
      <c r="AC6" s="177"/>
      <c r="AD6" s="177"/>
      <c r="AE6" s="177"/>
      <c r="AF6" s="177"/>
      <c r="AG6" s="177"/>
      <c r="AH6" s="177"/>
      <c r="AI6" s="177"/>
      <c r="AJ6" s="177"/>
      <c r="AK6" s="179"/>
      <c r="AL6" s="177"/>
      <c r="AM6" s="177"/>
      <c r="AN6" s="177"/>
      <c r="AO6" s="177"/>
      <c r="AP6" s="177"/>
      <c r="AQ6" s="177"/>
      <c r="AR6" s="177"/>
      <c r="AS6" s="178"/>
      <c r="AT6" s="177"/>
      <c r="AU6" s="177"/>
      <c r="AV6" s="177"/>
      <c r="AW6" s="177"/>
      <c r="AX6" s="177"/>
      <c r="AY6" s="177"/>
      <c r="AZ6" s="177"/>
      <c r="BA6" s="177"/>
      <c r="BB6" s="177"/>
      <c r="BC6" s="177"/>
      <c r="BD6" s="177"/>
      <c r="BE6" s="177"/>
      <c r="BF6" s="179"/>
      <c r="BG6" s="177"/>
      <c r="BH6" s="177"/>
      <c r="BI6" s="177"/>
      <c r="BJ6" s="177"/>
      <c r="BK6" s="177"/>
      <c r="BL6" s="177"/>
      <c r="BM6" s="177"/>
      <c r="BN6" s="177"/>
      <c r="BO6" s="177"/>
      <c r="BP6" s="177"/>
      <c r="BQ6" s="177"/>
      <c r="BR6" s="179"/>
      <c r="BS6" s="177"/>
      <c r="BT6" s="177"/>
      <c r="BU6" s="177"/>
      <c r="BV6" s="177"/>
      <c r="BW6" s="177"/>
      <c r="BX6" s="177"/>
      <c r="BY6" s="177"/>
      <c r="BZ6" s="177"/>
      <c r="CA6" s="177"/>
      <c r="CB6" s="179"/>
      <c r="CC6" s="177"/>
      <c r="CD6" s="177"/>
      <c r="CE6" s="177"/>
      <c r="CF6" s="177"/>
      <c r="CG6" s="177"/>
      <c r="CH6" s="177"/>
      <c r="CI6" s="177"/>
      <c r="CJ6" s="177"/>
      <c r="CK6" s="178"/>
      <c r="CL6" s="180"/>
    </row>
    <row r="7" spans="1:91">
      <c r="A7" s="93">
        <f>ROWS($A$3:A5)</f>
        <v>3</v>
      </c>
      <c r="B7" s="106" t="s">
        <v>63</v>
      </c>
      <c r="C7" s="242">
        <v>2009</v>
      </c>
      <c r="D7" s="314" t="s">
        <v>1</v>
      </c>
      <c r="E7" s="333"/>
      <c r="F7" s="156">
        <v>1055768</v>
      </c>
      <c r="G7" s="177">
        <v>691909</v>
      </c>
      <c r="H7" s="177">
        <v>934709</v>
      </c>
      <c r="I7" s="178">
        <v>891765</v>
      </c>
      <c r="J7" s="177"/>
      <c r="K7" s="156">
        <f t="shared" ref="K7:K20" si="0">BF7</f>
        <v>151157</v>
      </c>
      <c r="L7" s="177">
        <f t="shared" ref="L7:L20" si="1">AY7</f>
        <v>85814</v>
      </c>
      <c r="M7" s="177">
        <f t="shared" ref="M7:M20" si="2">BD7</f>
        <v>130441</v>
      </c>
      <c r="N7" s="177">
        <f t="shared" ref="N7:N20" si="3">AW7</f>
        <v>64236</v>
      </c>
      <c r="O7" s="177">
        <f t="shared" ref="O7:O20" si="4">BE7</f>
        <v>62712</v>
      </c>
      <c r="P7" s="177">
        <f>'2009'!AZ7+'2009'!BA7</f>
        <v>119981</v>
      </c>
      <c r="Q7" s="177">
        <f>'2009'!AU7</f>
        <v>61785</v>
      </c>
      <c r="R7" s="177">
        <f t="shared" ref="R7:R13" si="5">AT7+AX7</f>
        <v>89417</v>
      </c>
      <c r="S7" s="177">
        <f t="shared" ref="S7:S20" si="6">AV7</f>
        <v>64148</v>
      </c>
      <c r="T7" s="177">
        <f t="shared" ref="T7:T20" si="7">BB7</f>
        <v>77675</v>
      </c>
      <c r="U7" s="179">
        <f t="shared" ref="U7:U20" si="8">BC7</f>
        <v>148401</v>
      </c>
      <c r="V7" s="177">
        <f t="shared" ref="V7:V13" si="9">BG7+BJ7</f>
        <v>87896</v>
      </c>
      <c r="W7" s="177">
        <f t="shared" ref="W7:W20" si="10">BR7</f>
        <v>87068</v>
      </c>
      <c r="X7" s="177">
        <f t="shared" ref="X7:X13" si="11">BH7+BI7</f>
        <v>125846</v>
      </c>
      <c r="Y7" s="177">
        <f t="shared" ref="Y7:Y13" si="12">BK7+BL7+BN7</f>
        <v>131551</v>
      </c>
      <c r="Z7" s="177">
        <f t="shared" ref="Z7:Z20" si="13">BM7</f>
        <v>112626</v>
      </c>
      <c r="AA7" s="177">
        <f t="shared" ref="AA7:AA13" si="14">BO7+BQ7</f>
        <v>67169</v>
      </c>
      <c r="AB7" s="179">
        <f t="shared" ref="AB7:AB20" si="15">BP7</f>
        <v>79751</v>
      </c>
      <c r="AC7" s="177">
        <f t="shared" ref="AC7:AC20" si="16">BX7</f>
        <v>102525</v>
      </c>
      <c r="AD7" s="177">
        <f t="shared" ref="AD7:AD20" si="17">BU7</f>
        <v>67988</v>
      </c>
      <c r="AE7" s="177">
        <f t="shared" ref="AE7:AE13" si="18">BS7+BT7</f>
        <v>153139</v>
      </c>
      <c r="AF7" s="177">
        <f t="shared" ref="AF7:AF20" si="19">CA7</f>
        <v>80677</v>
      </c>
      <c r="AG7" s="177">
        <f t="shared" ref="AG7:AG20" si="20">BV7</f>
        <v>185085</v>
      </c>
      <c r="AH7" s="177">
        <f t="shared" ref="AH7:AH20" si="21">BZ7</f>
        <v>81800</v>
      </c>
      <c r="AI7" s="177">
        <f t="shared" ref="AI7:AI20" si="22">BW7</f>
        <v>76943</v>
      </c>
      <c r="AJ7" s="177">
        <f t="shared" ref="AJ7:AJ20" si="23">BY7</f>
        <v>73435</v>
      </c>
      <c r="AK7" s="179">
        <f t="shared" ref="AK7:AK20" si="24">CB7</f>
        <v>113116</v>
      </c>
      <c r="AL7" s="177">
        <f t="shared" ref="AL7:AL20" si="25">CE7</f>
        <v>91772</v>
      </c>
      <c r="AM7" s="177">
        <f t="shared" ref="AM7:AM20" si="26">CH7</f>
        <v>140975</v>
      </c>
      <c r="AN7" s="177">
        <f t="shared" ref="AN7:AN20" si="27">CJ7</f>
        <v>163182</v>
      </c>
      <c r="AO7" s="177">
        <f t="shared" ref="AO7:AO20" si="28">CC7</f>
        <v>109404</v>
      </c>
      <c r="AP7" s="177">
        <f t="shared" ref="AP7:AP20" si="29">CD7</f>
        <v>51918</v>
      </c>
      <c r="AQ7" s="177">
        <f t="shared" ref="AQ7:AQ20" si="30">CK7</f>
        <v>120435</v>
      </c>
      <c r="AR7" s="177">
        <f t="shared" ref="AR7:AR20" si="31">CI7</f>
        <v>66478</v>
      </c>
      <c r="AS7" s="178">
        <f t="shared" ref="AS7:AS13" si="32">CF7+CG7</f>
        <v>147601</v>
      </c>
      <c r="AT7" s="177">
        <v>20735</v>
      </c>
      <c r="AU7" s="177">
        <v>61785</v>
      </c>
      <c r="AV7" s="177">
        <v>64148</v>
      </c>
      <c r="AW7" s="181">
        <v>64236</v>
      </c>
      <c r="AX7" s="177">
        <v>68682</v>
      </c>
      <c r="AY7" s="177">
        <v>85814</v>
      </c>
      <c r="AZ7" s="177">
        <v>9988</v>
      </c>
      <c r="BA7" s="177">
        <v>109993</v>
      </c>
      <c r="BB7" s="177">
        <v>77675</v>
      </c>
      <c r="BC7" s="177">
        <v>148401</v>
      </c>
      <c r="BD7" s="177">
        <v>130441</v>
      </c>
      <c r="BE7" s="177">
        <v>62712</v>
      </c>
      <c r="BF7" s="179">
        <v>151157</v>
      </c>
      <c r="BG7" s="177">
        <v>14021</v>
      </c>
      <c r="BH7" s="177">
        <v>17346</v>
      </c>
      <c r="BI7" s="177">
        <v>108500</v>
      </c>
      <c r="BJ7" s="177">
        <v>73875</v>
      </c>
      <c r="BK7" s="177">
        <v>10883</v>
      </c>
      <c r="BL7" s="177">
        <v>14496</v>
      </c>
      <c r="BM7" s="177">
        <v>112626</v>
      </c>
      <c r="BN7" s="177">
        <v>106172</v>
      </c>
      <c r="BO7" s="177">
        <v>9801</v>
      </c>
      <c r="BP7" s="177">
        <v>79751</v>
      </c>
      <c r="BQ7" s="177">
        <v>57368</v>
      </c>
      <c r="BR7" s="179">
        <v>87068</v>
      </c>
      <c r="BS7" s="177">
        <v>15306</v>
      </c>
      <c r="BT7" s="177">
        <v>137833</v>
      </c>
      <c r="BU7" s="177">
        <v>67988</v>
      </c>
      <c r="BV7" s="177">
        <v>185085</v>
      </c>
      <c r="BW7" s="177">
        <v>76943</v>
      </c>
      <c r="BX7" s="177">
        <v>102525</v>
      </c>
      <c r="BY7" s="177">
        <v>73435</v>
      </c>
      <c r="BZ7" s="177">
        <v>81800</v>
      </c>
      <c r="CA7" s="177">
        <v>80677</v>
      </c>
      <c r="CB7" s="179">
        <v>113116</v>
      </c>
      <c r="CC7" s="177">
        <v>109404</v>
      </c>
      <c r="CD7" s="177">
        <v>51918</v>
      </c>
      <c r="CE7" s="177">
        <v>91772</v>
      </c>
      <c r="CF7" s="177">
        <v>11869</v>
      </c>
      <c r="CG7" s="177">
        <v>135732</v>
      </c>
      <c r="CH7" s="177">
        <v>140975</v>
      </c>
      <c r="CI7" s="177">
        <v>66478</v>
      </c>
      <c r="CJ7" s="177">
        <v>163182</v>
      </c>
      <c r="CK7" s="178">
        <v>120435</v>
      </c>
      <c r="CL7" s="180">
        <v>3575145</v>
      </c>
      <c r="CM7" s="56"/>
    </row>
    <row r="8" spans="1:91" ht="14.25">
      <c r="A8" s="93">
        <f>ROWS($A$3:A6)</f>
        <v>4</v>
      </c>
      <c r="B8" s="106" t="s">
        <v>261</v>
      </c>
      <c r="C8" s="243"/>
      <c r="D8" s="314" t="s">
        <v>1</v>
      </c>
      <c r="E8" s="333"/>
      <c r="F8" s="156">
        <v>171139</v>
      </c>
      <c r="G8" s="177">
        <v>112272</v>
      </c>
      <c r="H8" s="177">
        <v>111596</v>
      </c>
      <c r="I8" s="178">
        <v>107941</v>
      </c>
      <c r="J8" s="181"/>
      <c r="K8" s="156">
        <f t="shared" si="0"/>
        <v>18738</v>
      </c>
      <c r="L8" s="177">
        <f t="shared" si="1"/>
        <v>14821</v>
      </c>
      <c r="M8" s="177">
        <f t="shared" si="2"/>
        <v>14031</v>
      </c>
      <c r="N8" s="177">
        <f t="shared" si="3"/>
        <v>10454</v>
      </c>
      <c r="O8" s="177">
        <f t="shared" si="4"/>
        <v>7795</v>
      </c>
      <c r="P8" s="177">
        <f>'2009'!AZ8+'2009'!BA8</f>
        <v>22322</v>
      </c>
      <c r="Q8" s="177">
        <f>'2009'!AU8</f>
        <v>13602</v>
      </c>
      <c r="R8" s="177">
        <f t="shared" si="5"/>
        <v>27114</v>
      </c>
      <c r="S8" s="177">
        <f t="shared" si="6"/>
        <v>15679</v>
      </c>
      <c r="T8" s="177">
        <f t="shared" si="7"/>
        <v>9893</v>
      </c>
      <c r="U8" s="179">
        <f t="shared" si="8"/>
        <v>16689</v>
      </c>
      <c r="V8" s="177">
        <f t="shared" si="9"/>
        <v>12339</v>
      </c>
      <c r="W8" s="177">
        <f t="shared" si="10"/>
        <v>8215</v>
      </c>
      <c r="X8" s="177">
        <f t="shared" si="11"/>
        <v>27134</v>
      </c>
      <c r="Y8" s="177">
        <f t="shared" si="12"/>
        <v>32017</v>
      </c>
      <c r="Z8" s="177">
        <f t="shared" si="13"/>
        <v>11854</v>
      </c>
      <c r="AA8" s="177">
        <f t="shared" si="14"/>
        <v>11978</v>
      </c>
      <c r="AB8" s="179">
        <f t="shared" si="15"/>
        <v>8736</v>
      </c>
      <c r="AC8" s="177">
        <f t="shared" si="16"/>
        <v>11619</v>
      </c>
      <c r="AD8" s="177">
        <f t="shared" si="17"/>
        <v>7315</v>
      </c>
      <c r="AE8" s="177">
        <f t="shared" si="18"/>
        <v>19024</v>
      </c>
      <c r="AF8" s="177">
        <f t="shared" si="19"/>
        <v>10091</v>
      </c>
      <c r="AG8" s="177">
        <f t="shared" si="20"/>
        <v>21464</v>
      </c>
      <c r="AH8" s="177">
        <f t="shared" si="21"/>
        <v>12436</v>
      </c>
      <c r="AI8" s="177">
        <f t="shared" si="22"/>
        <v>9793</v>
      </c>
      <c r="AJ8" s="177">
        <f t="shared" si="23"/>
        <v>8448</v>
      </c>
      <c r="AK8" s="179">
        <f t="shared" si="24"/>
        <v>11405</v>
      </c>
      <c r="AL8" s="177">
        <f t="shared" si="25"/>
        <v>12132</v>
      </c>
      <c r="AM8" s="177">
        <f t="shared" si="26"/>
        <v>15778</v>
      </c>
      <c r="AN8" s="177">
        <f t="shared" si="27"/>
        <v>16714</v>
      </c>
      <c r="AO8" s="177">
        <f t="shared" si="28"/>
        <v>14080</v>
      </c>
      <c r="AP8" s="177">
        <f t="shared" si="29"/>
        <v>9114</v>
      </c>
      <c r="AQ8" s="177">
        <f t="shared" si="30"/>
        <v>11620</v>
      </c>
      <c r="AR8" s="177">
        <f t="shared" si="31"/>
        <v>9603</v>
      </c>
      <c r="AS8" s="178">
        <f t="shared" si="32"/>
        <v>18899</v>
      </c>
      <c r="AT8" s="177">
        <v>10656</v>
      </c>
      <c r="AU8" s="177">
        <v>13602</v>
      </c>
      <c r="AV8" s="177">
        <v>15679</v>
      </c>
      <c r="AW8" s="181">
        <v>10454</v>
      </c>
      <c r="AX8" s="177">
        <v>16458</v>
      </c>
      <c r="AY8" s="177">
        <v>14821</v>
      </c>
      <c r="AZ8" s="177">
        <v>3533</v>
      </c>
      <c r="BA8" s="177">
        <v>18789</v>
      </c>
      <c r="BB8" s="177">
        <v>9893</v>
      </c>
      <c r="BC8" s="177">
        <v>16689</v>
      </c>
      <c r="BD8" s="177">
        <v>14031</v>
      </c>
      <c r="BE8" s="177">
        <v>7795</v>
      </c>
      <c r="BF8" s="179">
        <v>18738</v>
      </c>
      <c r="BG8" s="177">
        <v>2033</v>
      </c>
      <c r="BH8" s="177">
        <v>8011</v>
      </c>
      <c r="BI8" s="177">
        <v>19123</v>
      </c>
      <c r="BJ8" s="177">
        <v>10306</v>
      </c>
      <c r="BK8" s="177">
        <v>3256</v>
      </c>
      <c r="BL8" s="177">
        <v>8408</v>
      </c>
      <c r="BM8" s="177">
        <v>11854</v>
      </c>
      <c r="BN8" s="177">
        <v>20353</v>
      </c>
      <c r="BO8" s="177">
        <v>2924</v>
      </c>
      <c r="BP8" s="177">
        <v>8736</v>
      </c>
      <c r="BQ8" s="177">
        <v>9054</v>
      </c>
      <c r="BR8" s="179">
        <v>8215</v>
      </c>
      <c r="BS8" s="177">
        <v>4878</v>
      </c>
      <c r="BT8" s="177">
        <v>14146</v>
      </c>
      <c r="BU8" s="177">
        <v>7315</v>
      </c>
      <c r="BV8" s="177">
        <v>21464</v>
      </c>
      <c r="BW8" s="177">
        <v>9793</v>
      </c>
      <c r="BX8" s="177">
        <v>11619</v>
      </c>
      <c r="BY8" s="177">
        <v>8448</v>
      </c>
      <c r="BZ8" s="177">
        <v>12436</v>
      </c>
      <c r="CA8" s="177">
        <v>10091</v>
      </c>
      <c r="CB8" s="179">
        <v>11405</v>
      </c>
      <c r="CC8" s="177">
        <v>14080</v>
      </c>
      <c r="CD8" s="177">
        <v>9114</v>
      </c>
      <c r="CE8" s="177">
        <v>12132</v>
      </c>
      <c r="CF8" s="177">
        <v>3715</v>
      </c>
      <c r="CG8" s="177">
        <v>15184</v>
      </c>
      <c r="CH8" s="177">
        <v>15778</v>
      </c>
      <c r="CI8" s="177">
        <v>9603</v>
      </c>
      <c r="CJ8" s="177">
        <v>16714</v>
      </c>
      <c r="CK8" s="178">
        <v>11620</v>
      </c>
      <c r="CL8" s="180">
        <v>502954</v>
      </c>
      <c r="CM8" s="56"/>
    </row>
    <row r="9" spans="1:91">
      <c r="A9" s="93">
        <f>ROWS($A$3:A7)</f>
        <v>5</v>
      </c>
      <c r="B9" s="106" t="s">
        <v>0</v>
      </c>
      <c r="C9" s="243"/>
      <c r="D9" s="314" t="s">
        <v>1</v>
      </c>
      <c r="E9" s="333"/>
      <c r="F9" s="156">
        <v>534003</v>
      </c>
      <c r="G9" s="177">
        <v>253605</v>
      </c>
      <c r="H9" s="177">
        <v>372949</v>
      </c>
      <c r="I9" s="178">
        <v>478067</v>
      </c>
      <c r="J9" s="181"/>
      <c r="K9" s="156">
        <f t="shared" si="0"/>
        <v>71691</v>
      </c>
      <c r="L9" s="177">
        <f t="shared" si="1"/>
        <v>36398</v>
      </c>
      <c r="M9" s="177">
        <f t="shared" si="2"/>
        <v>75473</v>
      </c>
      <c r="N9" s="177">
        <f t="shared" si="3"/>
        <v>32387</v>
      </c>
      <c r="O9" s="177">
        <f t="shared" si="4"/>
        <v>27253</v>
      </c>
      <c r="P9" s="177">
        <f>'2009'!AZ9+'2009'!BA9</f>
        <v>65982</v>
      </c>
      <c r="Q9" s="177">
        <f>'2009'!AU9</f>
        <v>25969</v>
      </c>
      <c r="R9" s="177">
        <f t="shared" si="5"/>
        <v>42908</v>
      </c>
      <c r="S9" s="177">
        <f t="shared" si="6"/>
        <v>28709</v>
      </c>
      <c r="T9" s="177">
        <f t="shared" si="7"/>
        <v>44567</v>
      </c>
      <c r="U9" s="179">
        <f t="shared" si="8"/>
        <v>82667</v>
      </c>
      <c r="V9" s="177">
        <f t="shared" si="9"/>
        <v>26016</v>
      </c>
      <c r="W9" s="177">
        <f t="shared" si="10"/>
        <v>23139</v>
      </c>
      <c r="X9" s="177">
        <f t="shared" si="11"/>
        <v>52894</v>
      </c>
      <c r="Y9" s="177">
        <f t="shared" si="12"/>
        <v>51489</v>
      </c>
      <c r="Z9" s="177">
        <f t="shared" si="13"/>
        <v>51920</v>
      </c>
      <c r="AA9" s="177">
        <f t="shared" si="14"/>
        <v>27237</v>
      </c>
      <c r="AB9" s="179">
        <f t="shared" si="15"/>
        <v>20910</v>
      </c>
      <c r="AC9" s="177">
        <f t="shared" si="16"/>
        <v>42832</v>
      </c>
      <c r="AD9" s="177">
        <f t="shared" si="17"/>
        <v>27700</v>
      </c>
      <c r="AE9" s="177">
        <f t="shared" si="18"/>
        <v>58719</v>
      </c>
      <c r="AF9" s="177">
        <f t="shared" si="19"/>
        <v>27808</v>
      </c>
      <c r="AG9" s="177">
        <f t="shared" si="20"/>
        <v>70868</v>
      </c>
      <c r="AH9" s="177">
        <f t="shared" si="21"/>
        <v>40549</v>
      </c>
      <c r="AI9" s="177">
        <f t="shared" si="22"/>
        <v>32926</v>
      </c>
      <c r="AJ9" s="177">
        <f t="shared" si="23"/>
        <v>27412</v>
      </c>
      <c r="AK9" s="179">
        <f t="shared" si="24"/>
        <v>44134</v>
      </c>
      <c r="AL9" s="177">
        <f t="shared" si="25"/>
        <v>41188</v>
      </c>
      <c r="AM9" s="177">
        <f t="shared" si="26"/>
        <v>82597</v>
      </c>
      <c r="AN9" s="177">
        <f t="shared" si="27"/>
        <v>96757</v>
      </c>
      <c r="AO9" s="177">
        <f t="shared" si="28"/>
        <v>53018</v>
      </c>
      <c r="AP9" s="177">
        <f t="shared" si="29"/>
        <v>23985</v>
      </c>
      <c r="AQ9" s="177">
        <f t="shared" si="30"/>
        <v>60002</v>
      </c>
      <c r="AR9" s="177">
        <f t="shared" si="31"/>
        <v>37170</v>
      </c>
      <c r="AS9" s="178">
        <f t="shared" si="32"/>
        <v>83349</v>
      </c>
      <c r="AT9" s="177">
        <v>4782</v>
      </c>
      <c r="AU9" s="177">
        <v>25969</v>
      </c>
      <c r="AV9" s="177">
        <v>28709</v>
      </c>
      <c r="AW9" s="181">
        <v>32387</v>
      </c>
      <c r="AX9" s="177">
        <v>38126</v>
      </c>
      <c r="AY9" s="177">
        <v>36398</v>
      </c>
      <c r="AZ9" s="177">
        <v>4757</v>
      </c>
      <c r="BA9" s="177">
        <v>61225</v>
      </c>
      <c r="BB9" s="177">
        <v>44567</v>
      </c>
      <c r="BC9" s="177">
        <v>82667</v>
      </c>
      <c r="BD9" s="177">
        <v>75473</v>
      </c>
      <c r="BE9" s="177">
        <v>27253</v>
      </c>
      <c r="BF9" s="179">
        <v>71691</v>
      </c>
      <c r="BG9" s="177">
        <v>3156</v>
      </c>
      <c r="BH9" s="177">
        <v>3983</v>
      </c>
      <c r="BI9" s="177">
        <v>48911</v>
      </c>
      <c r="BJ9" s="177">
        <v>22860</v>
      </c>
      <c r="BK9" s="177">
        <v>2890</v>
      </c>
      <c r="BL9" s="177">
        <v>3475</v>
      </c>
      <c r="BM9" s="177">
        <v>51920</v>
      </c>
      <c r="BN9" s="177">
        <v>45124</v>
      </c>
      <c r="BO9" s="177">
        <v>1741</v>
      </c>
      <c r="BP9" s="177">
        <v>20910</v>
      </c>
      <c r="BQ9" s="177">
        <v>25496</v>
      </c>
      <c r="BR9" s="179">
        <v>23139</v>
      </c>
      <c r="BS9" s="177">
        <v>3663</v>
      </c>
      <c r="BT9" s="177">
        <v>55056</v>
      </c>
      <c r="BU9" s="177">
        <v>27700</v>
      </c>
      <c r="BV9" s="177">
        <v>70868</v>
      </c>
      <c r="BW9" s="177">
        <v>32926</v>
      </c>
      <c r="BX9" s="177">
        <v>42832</v>
      </c>
      <c r="BY9" s="177">
        <v>27412</v>
      </c>
      <c r="BZ9" s="177">
        <v>40549</v>
      </c>
      <c r="CA9" s="177">
        <v>27808</v>
      </c>
      <c r="CB9" s="179">
        <v>44134</v>
      </c>
      <c r="CC9" s="177">
        <v>53018</v>
      </c>
      <c r="CD9" s="177">
        <v>23985</v>
      </c>
      <c r="CE9" s="177">
        <v>41188</v>
      </c>
      <c r="CF9" s="177">
        <v>5350</v>
      </c>
      <c r="CG9" s="177">
        <v>77999</v>
      </c>
      <c r="CH9" s="177">
        <v>82597</v>
      </c>
      <c r="CI9" s="177">
        <v>37170</v>
      </c>
      <c r="CJ9" s="177">
        <v>96757</v>
      </c>
      <c r="CK9" s="178">
        <v>60002</v>
      </c>
      <c r="CL9" s="180">
        <v>1638837</v>
      </c>
      <c r="CM9" s="56"/>
    </row>
    <row r="10" spans="1:91">
      <c r="A10" s="93">
        <f>ROWS($A$3:A8)</f>
        <v>6</v>
      </c>
      <c r="B10" s="106" t="s">
        <v>216</v>
      </c>
      <c r="C10" s="243"/>
      <c r="D10" s="314" t="s">
        <v>1</v>
      </c>
      <c r="E10" s="333"/>
      <c r="F10" s="156">
        <v>334649</v>
      </c>
      <c r="G10" s="177">
        <v>309892</v>
      </c>
      <c r="H10" s="177">
        <v>431990</v>
      </c>
      <c r="I10" s="178">
        <v>291147</v>
      </c>
      <c r="J10" s="181"/>
      <c r="K10" s="156">
        <f t="shared" si="0"/>
        <v>59097</v>
      </c>
      <c r="L10" s="177">
        <f t="shared" si="1"/>
        <v>33663</v>
      </c>
      <c r="M10" s="177">
        <f t="shared" si="2"/>
        <v>38607</v>
      </c>
      <c r="N10" s="177">
        <f t="shared" si="3"/>
        <v>20633</v>
      </c>
      <c r="O10" s="177">
        <f t="shared" si="4"/>
        <v>26978</v>
      </c>
      <c r="P10" s="177">
        <f>'2009'!AZ10+'2009'!BA10</f>
        <v>29525</v>
      </c>
      <c r="Q10" s="177">
        <f>'2009'!AU10</f>
        <v>21396</v>
      </c>
      <c r="R10" s="177">
        <f t="shared" si="5"/>
        <v>17464</v>
      </c>
      <c r="S10" s="177">
        <f t="shared" si="6"/>
        <v>18683</v>
      </c>
      <c r="T10" s="177">
        <f t="shared" si="7"/>
        <v>21781</v>
      </c>
      <c r="U10" s="179">
        <f t="shared" si="8"/>
        <v>46823</v>
      </c>
      <c r="V10" s="177">
        <f t="shared" si="9"/>
        <v>46148</v>
      </c>
      <c r="W10" s="177">
        <f t="shared" si="10"/>
        <v>54608</v>
      </c>
      <c r="X10" s="177">
        <f t="shared" si="11"/>
        <v>41240</v>
      </c>
      <c r="Y10" s="177">
        <f t="shared" si="12"/>
        <v>44176</v>
      </c>
      <c r="Z10" s="177">
        <f t="shared" si="13"/>
        <v>47409</v>
      </c>
      <c r="AA10" s="177">
        <f t="shared" si="14"/>
        <v>27043</v>
      </c>
      <c r="AB10" s="179">
        <f t="shared" si="15"/>
        <v>49267</v>
      </c>
      <c r="AC10" s="177">
        <f t="shared" si="16"/>
        <v>46914</v>
      </c>
      <c r="AD10" s="177">
        <f t="shared" si="17"/>
        <v>31114</v>
      </c>
      <c r="AE10" s="177">
        <f t="shared" si="18"/>
        <v>71961</v>
      </c>
      <c r="AF10" s="177">
        <f t="shared" si="19"/>
        <v>41574</v>
      </c>
      <c r="AG10" s="177">
        <f t="shared" si="20"/>
        <v>87507</v>
      </c>
      <c r="AH10" s="177">
        <f t="shared" si="21"/>
        <v>27315</v>
      </c>
      <c r="AI10" s="177">
        <f t="shared" si="22"/>
        <v>33073</v>
      </c>
      <c r="AJ10" s="177">
        <f t="shared" si="23"/>
        <v>36721</v>
      </c>
      <c r="AK10" s="179">
        <f t="shared" si="24"/>
        <v>55813</v>
      </c>
      <c r="AL10" s="177">
        <f t="shared" si="25"/>
        <v>37302</v>
      </c>
      <c r="AM10" s="177">
        <f t="shared" si="26"/>
        <v>40108</v>
      </c>
      <c r="AN10" s="177">
        <f t="shared" si="27"/>
        <v>46797</v>
      </c>
      <c r="AO10" s="177">
        <f t="shared" si="28"/>
        <v>41212</v>
      </c>
      <c r="AP10" s="177">
        <f t="shared" si="29"/>
        <v>17981</v>
      </c>
      <c r="AQ10" s="177">
        <f t="shared" si="30"/>
        <v>46633</v>
      </c>
      <c r="AR10" s="177">
        <f t="shared" si="31"/>
        <v>18630</v>
      </c>
      <c r="AS10" s="178">
        <f t="shared" si="32"/>
        <v>42483</v>
      </c>
      <c r="AT10" s="181">
        <v>4967</v>
      </c>
      <c r="AU10" s="181">
        <v>21396</v>
      </c>
      <c r="AV10" s="181">
        <v>18683</v>
      </c>
      <c r="AW10" s="181">
        <v>20633</v>
      </c>
      <c r="AX10" s="181">
        <v>12497</v>
      </c>
      <c r="AY10" s="177">
        <v>33663</v>
      </c>
      <c r="AZ10" s="177">
        <v>1420</v>
      </c>
      <c r="BA10" s="177">
        <v>28105</v>
      </c>
      <c r="BB10" s="177">
        <v>21781</v>
      </c>
      <c r="BC10" s="177">
        <v>46823</v>
      </c>
      <c r="BD10" s="177">
        <v>38607</v>
      </c>
      <c r="BE10" s="177">
        <v>26978</v>
      </c>
      <c r="BF10" s="179">
        <v>59097</v>
      </c>
      <c r="BG10" s="177">
        <v>8621</v>
      </c>
      <c r="BH10" s="177">
        <v>4518</v>
      </c>
      <c r="BI10" s="177">
        <v>36722</v>
      </c>
      <c r="BJ10" s="177">
        <v>37527</v>
      </c>
      <c r="BK10" s="177">
        <v>4429</v>
      </c>
      <c r="BL10" s="177">
        <v>1812</v>
      </c>
      <c r="BM10" s="177">
        <v>47409</v>
      </c>
      <c r="BN10" s="177">
        <v>37935</v>
      </c>
      <c r="BO10" s="177">
        <v>5040</v>
      </c>
      <c r="BP10" s="177">
        <v>49267</v>
      </c>
      <c r="BQ10" s="177">
        <v>22003</v>
      </c>
      <c r="BR10" s="179">
        <v>54608</v>
      </c>
      <c r="BS10" s="177">
        <v>6491</v>
      </c>
      <c r="BT10" s="177">
        <v>65470</v>
      </c>
      <c r="BU10" s="177">
        <v>31114</v>
      </c>
      <c r="BV10" s="177">
        <v>87507</v>
      </c>
      <c r="BW10" s="177">
        <v>33073</v>
      </c>
      <c r="BX10" s="177">
        <v>46914</v>
      </c>
      <c r="BY10" s="177">
        <v>36721</v>
      </c>
      <c r="BZ10" s="177">
        <v>27315</v>
      </c>
      <c r="CA10" s="177">
        <v>41574</v>
      </c>
      <c r="CB10" s="179">
        <v>55813</v>
      </c>
      <c r="CC10" s="177">
        <v>41212</v>
      </c>
      <c r="CD10" s="177">
        <v>17981</v>
      </c>
      <c r="CE10" s="177">
        <v>37302</v>
      </c>
      <c r="CF10" s="177">
        <v>2268</v>
      </c>
      <c r="CG10" s="177">
        <v>40215</v>
      </c>
      <c r="CH10" s="177">
        <v>40108</v>
      </c>
      <c r="CI10" s="177">
        <v>18630</v>
      </c>
      <c r="CJ10" s="177">
        <v>46797</v>
      </c>
      <c r="CK10" s="178">
        <v>46633</v>
      </c>
      <c r="CL10" s="180">
        <v>1368202</v>
      </c>
      <c r="CM10" s="56"/>
    </row>
    <row r="11" spans="1:91">
      <c r="A11" s="93">
        <f>ROWS($A$3:A9)</f>
        <v>7</v>
      </c>
      <c r="B11" s="106" t="s">
        <v>2</v>
      </c>
      <c r="C11" s="243"/>
      <c r="D11" s="314" t="s">
        <v>1</v>
      </c>
      <c r="E11" s="333"/>
      <c r="F11" s="156">
        <v>8804</v>
      </c>
      <c r="G11" s="177">
        <v>10080</v>
      </c>
      <c r="H11" s="177">
        <v>11335</v>
      </c>
      <c r="I11" s="178">
        <v>7902</v>
      </c>
      <c r="J11" s="181"/>
      <c r="K11" s="156">
        <f t="shared" si="0"/>
        <v>1098</v>
      </c>
      <c r="L11" s="177">
        <f t="shared" si="1"/>
        <v>522</v>
      </c>
      <c r="M11" s="177">
        <f t="shared" si="2"/>
        <v>1053</v>
      </c>
      <c r="N11" s="177">
        <f t="shared" si="3"/>
        <v>287</v>
      </c>
      <c r="O11" s="177">
        <f t="shared" si="4"/>
        <v>255</v>
      </c>
      <c r="P11" s="177">
        <f>'2009'!AZ11+'2009'!BA11</f>
        <v>1446</v>
      </c>
      <c r="Q11" s="177">
        <f>'2009'!AU11</f>
        <v>249</v>
      </c>
      <c r="R11" s="177">
        <f t="shared" si="5"/>
        <v>1174</v>
      </c>
      <c r="S11" s="177">
        <f t="shared" si="6"/>
        <v>616</v>
      </c>
      <c r="T11" s="177">
        <f t="shared" si="7"/>
        <v>811</v>
      </c>
      <c r="U11" s="179">
        <f t="shared" si="8"/>
        <v>1293</v>
      </c>
      <c r="V11" s="177">
        <f t="shared" si="9"/>
        <v>2312</v>
      </c>
      <c r="W11" s="177">
        <f t="shared" si="10"/>
        <v>508</v>
      </c>
      <c r="X11" s="177">
        <f t="shared" si="11"/>
        <v>3116</v>
      </c>
      <c r="Y11" s="177">
        <f t="shared" si="12"/>
        <v>2681</v>
      </c>
      <c r="Z11" s="177">
        <f t="shared" si="13"/>
        <v>743</v>
      </c>
      <c r="AA11" s="177">
        <f t="shared" si="14"/>
        <v>401</v>
      </c>
      <c r="AB11" s="179">
        <f t="shared" si="15"/>
        <v>321</v>
      </c>
      <c r="AC11" s="177">
        <f t="shared" si="16"/>
        <v>656</v>
      </c>
      <c r="AD11" s="177">
        <f t="shared" si="17"/>
        <v>928</v>
      </c>
      <c r="AE11" s="177">
        <f t="shared" si="18"/>
        <v>2227</v>
      </c>
      <c r="AF11" s="177">
        <f t="shared" si="19"/>
        <v>918</v>
      </c>
      <c r="AG11" s="177">
        <f t="shared" si="20"/>
        <v>3425</v>
      </c>
      <c r="AH11" s="177">
        <f t="shared" si="21"/>
        <v>962</v>
      </c>
      <c r="AI11" s="177">
        <f t="shared" si="22"/>
        <v>452</v>
      </c>
      <c r="AJ11" s="177">
        <f t="shared" si="23"/>
        <v>349</v>
      </c>
      <c r="AK11" s="179">
        <f t="shared" si="24"/>
        <v>1418</v>
      </c>
      <c r="AL11" s="177">
        <f t="shared" si="25"/>
        <v>365</v>
      </c>
      <c r="AM11" s="177">
        <f t="shared" si="26"/>
        <v>1514</v>
      </c>
      <c r="AN11" s="177">
        <f t="shared" si="27"/>
        <v>2176</v>
      </c>
      <c r="AO11" s="177">
        <f t="shared" si="28"/>
        <v>267</v>
      </c>
      <c r="AP11" s="177">
        <f t="shared" si="29"/>
        <v>476</v>
      </c>
      <c r="AQ11" s="177">
        <f t="shared" si="30"/>
        <v>1126</v>
      </c>
      <c r="AR11" s="177">
        <f t="shared" si="31"/>
        <v>707</v>
      </c>
      <c r="AS11" s="178">
        <f t="shared" si="32"/>
        <v>1272</v>
      </c>
      <c r="AT11" s="181">
        <v>270</v>
      </c>
      <c r="AU11" s="181">
        <v>249</v>
      </c>
      <c r="AV11" s="181">
        <v>616</v>
      </c>
      <c r="AW11" s="181">
        <v>287</v>
      </c>
      <c r="AX11" s="181">
        <v>904</v>
      </c>
      <c r="AY11" s="177">
        <v>522</v>
      </c>
      <c r="AZ11" s="177">
        <v>217</v>
      </c>
      <c r="BA11" s="177">
        <v>1229</v>
      </c>
      <c r="BB11" s="177">
        <v>811</v>
      </c>
      <c r="BC11" s="177">
        <v>1293</v>
      </c>
      <c r="BD11" s="177">
        <v>1053</v>
      </c>
      <c r="BE11" s="177">
        <v>255</v>
      </c>
      <c r="BF11" s="179">
        <v>1098</v>
      </c>
      <c r="BG11" s="177">
        <v>82</v>
      </c>
      <c r="BH11" s="177">
        <v>707</v>
      </c>
      <c r="BI11" s="177">
        <v>2409</v>
      </c>
      <c r="BJ11" s="177">
        <v>2230</v>
      </c>
      <c r="BK11" s="177">
        <v>253</v>
      </c>
      <c r="BL11" s="177">
        <v>761</v>
      </c>
      <c r="BM11" s="177">
        <v>743</v>
      </c>
      <c r="BN11" s="177">
        <v>1667</v>
      </c>
      <c r="BO11" s="177">
        <v>73</v>
      </c>
      <c r="BP11" s="177">
        <v>321</v>
      </c>
      <c r="BQ11" s="177">
        <v>328</v>
      </c>
      <c r="BR11" s="179">
        <v>508</v>
      </c>
      <c r="BS11" s="177">
        <v>207</v>
      </c>
      <c r="BT11" s="177">
        <v>2020</v>
      </c>
      <c r="BU11" s="177">
        <v>928</v>
      </c>
      <c r="BV11" s="177">
        <v>3425</v>
      </c>
      <c r="BW11" s="177">
        <v>452</v>
      </c>
      <c r="BX11" s="177">
        <v>656</v>
      </c>
      <c r="BY11" s="177">
        <v>349</v>
      </c>
      <c r="BZ11" s="177">
        <v>962</v>
      </c>
      <c r="CA11" s="177">
        <v>918</v>
      </c>
      <c r="CB11" s="179">
        <v>1418</v>
      </c>
      <c r="CC11" s="177">
        <v>267</v>
      </c>
      <c r="CD11" s="177">
        <v>476</v>
      </c>
      <c r="CE11" s="177">
        <v>365</v>
      </c>
      <c r="CF11" s="177">
        <v>155</v>
      </c>
      <c r="CG11" s="177">
        <v>1117</v>
      </c>
      <c r="CH11" s="177">
        <v>1514</v>
      </c>
      <c r="CI11" s="177">
        <v>707</v>
      </c>
      <c r="CJ11" s="177">
        <v>2176</v>
      </c>
      <c r="CK11" s="178">
        <v>1126</v>
      </c>
      <c r="CL11" s="180">
        <v>38359</v>
      </c>
      <c r="CM11" s="56"/>
    </row>
    <row r="12" spans="1:91">
      <c r="A12" s="93">
        <f>ROWS($A$3:A10)</f>
        <v>8</v>
      </c>
      <c r="B12" s="106" t="s">
        <v>217</v>
      </c>
      <c r="C12" s="243"/>
      <c r="D12" s="314" t="s">
        <v>1</v>
      </c>
      <c r="E12" s="333"/>
      <c r="F12" s="156">
        <v>7173</v>
      </c>
      <c r="G12" s="177">
        <v>6059</v>
      </c>
      <c r="H12" s="177">
        <v>6839</v>
      </c>
      <c r="I12" s="178">
        <v>6709</v>
      </c>
      <c r="J12" s="181"/>
      <c r="K12" s="156">
        <f t="shared" si="0"/>
        <v>533</v>
      </c>
      <c r="L12" s="177">
        <f t="shared" si="1"/>
        <v>410</v>
      </c>
      <c r="M12" s="177">
        <f t="shared" si="2"/>
        <v>1276</v>
      </c>
      <c r="N12" s="177">
        <f t="shared" si="3"/>
        <v>476</v>
      </c>
      <c r="O12" s="177">
        <f t="shared" si="4"/>
        <v>431</v>
      </c>
      <c r="P12" s="177">
        <f>'2009'!AZ12+'2009'!BA12</f>
        <v>707</v>
      </c>
      <c r="Q12" s="177">
        <f>'2009'!AU12</f>
        <v>569</v>
      </c>
      <c r="R12" s="177">
        <f t="shared" si="5"/>
        <v>756</v>
      </c>
      <c r="S12" s="177">
        <f t="shared" si="6"/>
        <v>461</v>
      </c>
      <c r="T12" s="177">
        <f t="shared" si="7"/>
        <v>625</v>
      </c>
      <c r="U12" s="179">
        <f t="shared" si="8"/>
        <v>930</v>
      </c>
      <c r="V12" s="177">
        <f t="shared" si="9"/>
        <v>1081</v>
      </c>
      <c r="W12" s="177">
        <f t="shared" si="10"/>
        <v>597</v>
      </c>
      <c r="X12" s="177">
        <f t="shared" si="11"/>
        <v>1463</v>
      </c>
      <c r="Y12" s="177">
        <f t="shared" si="12"/>
        <v>1188</v>
      </c>
      <c r="Z12" s="177">
        <f t="shared" si="13"/>
        <v>700</v>
      </c>
      <c r="AA12" s="177">
        <f t="shared" si="14"/>
        <v>512</v>
      </c>
      <c r="AB12" s="179">
        <f t="shared" si="15"/>
        <v>518</v>
      </c>
      <c r="AC12" s="177">
        <f t="shared" si="16"/>
        <v>505</v>
      </c>
      <c r="AD12" s="177">
        <f t="shared" si="17"/>
        <v>931</v>
      </c>
      <c r="AE12" s="177">
        <f t="shared" si="18"/>
        <v>1208</v>
      </c>
      <c r="AF12" s="177">
        <f t="shared" si="19"/>
        <v>287</v>
      </c>
      <c r="AG12" s="177">
        <f t="shared" si="20"/>
        <v>1822</v>
      </c>
      <c r="AH12" s="177">
        <f t="shared" si="21"/>
        <v>538</v>
      </c>
      <c r="AI12" s="177">
        <f t="shared" si="22"/>
        <v>698</v>
      </c>
      <c r="AJ12" s="177">
        <f t="shared" si="23"/>
        <v>505</v>
      </c>
      <c r="AK12" s="179">
        <f t="shared" si="24"/>
        <v>346</v>
      </c>
      <c r="AL12" s="177">
        <f t="shared" si="25"/>
        <v>784</v>
      </c>
      <c r="AM12" s="177">
        <f t="shared" si="26"/>
        <v>978</v>
      </c>
      <c r="AN12" s="177">
        <f t="shared" si="27"/>
        <v>738</v>
      </c>
      <c r="AO12" s="177">
        <f t="shared" si="28"/>
        <v>827</v>
      </c>
      <c r="AP12" s="177">
        <f t="shared" si="29"/>
        <v>362</v>
      </c>
      <c r="AQ12" s="177">
        <f t="shared" si="30"/>
        <v>1054</v>
      </c>
      <c r="AR12" s="177">
        <f t="shared" si="31"/>
        <v>367</v>
      </c>
      <c r="AS12" s="178">
        <f t="shared" si="32"/>
        <v>1597</v>
      </c>
      <c r="AT12" s="186">
        <v>59</v>
      </c>
      <c r="AU12" s="186">
        <v>569</v>
      </c>
      <c r="AV12" s="186">
        <v>461</v>
      </c>
      <c r="AW12" s="186">
        <v>476</v>
      </c>
      <c r="AX12" s="186">
        <v>697</v>
      </c>
      <c r="AY12" s="186">
        <v>410</v>
      </c>
      <c r="AZ12" s="186">
        <v>61</v>
      </c>
      <c r="BA12" s="186">
        <v>646</v>
      </c>
      <c r="BB12" s="186">
        <v>625</v>
      </c>
      <c r="BC12" s="186">
        <v>930</v>
      </c>
      <c r="BD12" s="186">
        <v>1276</v>
      </c>
      <c r="BE12" s="186">
        <v>431</v>
      </c>
      <c r="BF12" s="187">
        <v>533</v>
      </c>
      <c r="BG12" s="186">
        <v>129</v>
      </c>
      <c r="BH12" s="186">
        <v>127</v>
      </c>
      <c r="BI12" s="186">
        <v>1336</v>
      </c>
      <c r="BJ12" s="186">
        <v>952</v>
      </c>
      <c r="BK12" s="177">
        <v>55</v>
      </c>
      <c r="BL12" s="177">
        <v>40</v>
      </c>
      <c r="BM12" s="177">
        <v>700</v>
      </c>
      <c r="BN12" s="177">
        <v>1093</v>
      </c>
      <c r="BO12" s="177">
        <v>23</v>
      </c>
      <c r="BP12" s="177">
        <v>518</v>
      </c>
      <c r="BQ12" s="177">
        <v>489</v>
      </c>
      <c r="BR12" s="179">
        <v>597</v>
      </c>
      <c r="BS12" s="177">
        <v>67</v>
      </c>
      <c r="BT12" s="177">
        <v>1141</v>
      </c>
      <c r="BU12" s="177">
        <v>931</v>
      </c>
      <c r="BV12" s="177">
        <v>1822</v>
      </c>
      <c r="BW12" s="177">
        <v>698</v>
      </c>
      <c r="BX12" s="177">
        <v>505</v>
      </c>
      <c r="BY12" s="177">
        <v>505</v>
      </c>
      <c r="BZ12" s="177">
        <v>538</v>
      </c>
      <c r="CA12" s="177">
        <v>287</v>
      </c>
      <c r="CB12" s="179">
        <v>346</v>
      </c>
      <c r="CC12" s="177">
        <v>827</v>
      </c>
      <c r="CD12" s="177">
        <v>362</v>
      </c>
      <c r="CE12" s="177">
        <v>784</v>
      </c>
      <c r="CF12" s="177">
        <v>380</v>
      </c>
      <c r="CG12" s="177">
        <v>1217</v>
      </c>
      <c r="CH12" s="177">
        <v>978</v>
      </c>
      <c r="CI12" s="177">
        <v>367</v>
      </c>
      <c r="CJ12" s="177">
        <v>738</v>
      </c>
      <c r="CK12" s="178">
        <v>1054</v>
      </c>
      <c r="CL12" s="180">
        <v>26794</v>
      </c>
      <c r="CM12" s="56"/>
    </row>
    <row r="13" spans="1:91">
      <c r="A13" s="93">
        <f>ROWS($A$3:A11)</f>
        <v>9</v>
      </c>
      <c r="B13" s="106" t="s">
        <v>69</v>
      </c>
      <c r="C13" s="242">
        <v>2009</v>
      </c>
      <c r="D13" s="314" t="s">
        <v>12</v>
      </c>
      <c r="E13" s="316">
        <v>40679</v>
      </c>
      <c r="F13" s="156">
        <v>4000848</v>
      </c>
      <c r="G13" s="177">
        <v>2740503</v>
      </c>
      <c r="H13" s="177">
        <v>2196018</v>
      </c>
      <c r="I13" s="178">
        <v>1807552</v>
      </c>
      <c r="J13" s="181"/>
      <c r="K13" s="156">
        <f t="shared" si="0"/>
        <v>312129</v>
      </c>
      <c r="L13" s="177">
        <f t="shared" si="1"/>
        <v>415696</v>
      </c>
      <c r="M13" s="177">
        <f t="shared" si="2"/>
        <v>134211</v>
      </c>
      <c r="N13" s="177">
        <f t="shared" si="3"/>
        <v>253522</v>
      </c>
      <c r="O13" s="177">
        <f t="shared" si="4"/>
        <v>131854</v>
      </c>
      <c r="P13" s="177">
        <f>'2009'!AZ13+'2009'!BA13</f>
        <v>451469</v>
      </c>
      <c r="Q13" s="177">
        <f>'2009'!AU13</f>
        <v>371616</v>
      </c>
      <c r="R13" s="177">
        <f t="shared" si="5"/>
        <v>1118520</v>
      </c>
      <c r="S13" s="177">
        <f t="shared" si="6"/>
        <v>514109</v>
      </c>
      <c r="T13" s="177">
        <f t="shared" si="7"/>
        <v>109028</v>
      </c>
      <c r="U13" s="179">
        <f t="shared" si="8"/>
        <v>188694</v>
      </c>
      <c r="V13" s="177">
        <f t="shared" si="9"/>
        <v>281406</v>
      </c>
      <c r="W13" s="177">
        <f t="shared" si="10"/>
        <v>120637</v>
      </c>
      <c r="X13" s="177">
        <f t="shared" si="11"/>
        <v>723565</v>
      </c>
      <c r="Y13" s="177">
        <f t="shared" si="12"/>
        <v>994716</v>
      </c>
      <c r="Z13" s="177">
        <f t="shared" si="13"/>
        <v>147782</v>
      </c>
      <c r="AA13" s="177">
        <f t="shared" si="14"/>
        <v>314342</v>
      </c>
      <c r="AB13" s="179">
        <f t="shared" si="15"/>
        <v>158055</v>
      </c>
      <c r="AC13" s="177">
        <f t="shared" si="16"/>
        <v>207259</v>
      </c>
      <c r="AD13" s="177">
        <f t="shared" si="17"/>
        <v>157791</v>
      </c>
      <c r="AE13" s="177">
        <f t="shared" si="18"/>
        <v>472342</v>
      </c>
      <c r="AF13" s="177">
        <f t="shared" si="19"/>
        <v>222401</v>
      </c>
      <c r="AG13" s="177">
        <f t="shared" si="20"/>
        <v>417267</v>
      </c>
      <c r="AH13" s="177">
        <f t="shared" si="21"/>
        <v>277555</v>
      </c>
      <c r="AI13" s="177">
        <f t="shared" si="22"/>
        <v>140307</v>
      </c>
      <c r="AJ13" s="177">
        <f t="shared" si="23"/>
        <v>134712</v>
      </c>
      <c r="AK13" s="179">
        <f t="shared" si="24"/>
        <v>166384</v>
      </c>
      <c r="AL13" s="177">
        <f t="shared" si="25"/>
        <v>189337</v>
      </c>
      <c r="AM13" s="177">
        <f t="shared" si="26"/>
        <v>189403</v>
      </c>
      <c r="AN13" s="177">
        <f t="shared" si="27"/>
        <v>276363</v>
      </c>
      <c r="AO13" s="177">
        <f t="shared" si="28"/>
        <v>280927</v>
      </c>
      <c r="AP13" s="177">
        <f t="shared" si="29"/>
        <v>220782</v>
      </c>
      <c r="AQ13" s="177">
        <f t="shared" si="30"/>
        <v>131059</v>
      </c>
      <c r="AR13" s="177">
        <f t="shared" si="31"/>
        <v>207710</v>
      </c>
      <c r="AS13" s="178">
        <f t="shared" si="32"/>
        <v>311971</v>
      </c>
      <c r="AT13" s="181">
        <v>601646</v>
      </c>
      <c r="AU13" s="181">
        <v>371616</v>
      </c>
      <c r="AV13" s="181">
        <v>514109</v>
      </c>
      <c r="AW13" s="181">
        <v>253522</v>
      </c>
      <c r="AX13" s="181">
        <v>516874</v>
      </c>
      <c r="AY13" s="177">
        <v>415696</v>
      </c>
      <c r="AZ13" s="177">
        <v>122415</v>
      </c>
      <c r="BA13" s="177">
        <v>329054</v>
      </c>
      <c r="BB13" s="177">
        <v>109028</v>
      </c>
      <c r="BC13" s="177">
        <v>188694</v>
      </c>
      <c r="BD13" s="177">
        <v>134211</v>
      </c>
      <c r="BE13" s="177">
        <v>131854</v>
      </c>
      <c r="BF13" s="179">
        <v>312129</v>
      </c>
      <c r="BG13" s="177">
        <v>54494</v>
      </c>
      <c r="BH13" s="177">
        <v>291959</v>
      </c>
      <c r="BI13" s="177">
        <v>431606</v>
      </c>
      <c r="BJ13" s="177">
        <v>226912</v>
      </c>
      <c r="BK13" s="177">
        <v>146466</v>
      </c>
      <c r="BL13" s="177">
        <v>311969</v>
      </c>
      <c r="BM13" s="177">
        <v>147782</v>
      </c>
      <c r="BN13" s="177">
        <v>536281</v>
      </c>
      <c r="BO13" s="177">
        <v>119788</v>
      </c>
      <c r="BP13" s="177">
        <v>158055</v>
      </c>
      <c r="BQ13" s="177">
        <v>194554</v>
      </c>
      <c r="BR13" s="179">
        <v>120637</v>
      </c>
      <c r="BS13" s="177">
        <v>221924</v>
      </c>
      <c r="BT13" s="177">
        <v>250418</v>
      </c>
      <c r="BU13" s="177">
        <v>157791</v>
      </c>
      <c r="BV13" s="177">
        <v>417267</v>
      </c>
      <c r="BW13" s="177">
        <v>140307</v>
      </c>
      <c r="BX13" s="177">
        <v>207259</v>
      </c>
      <c r="BY13" s="177">
        <v>134712</v>
      </c>
      <c r="BZ13" s="177">
        <v>277555</v>
      </c>
      <c r="CA13" s="177">
        <v>222401</v>
      </c>
      <c r="CB13" s="179">
        <v>166384</v>
      </c>
      <c r="CC13" s="177">
        <v>280927</v>
      </c>
      <c r="CD13" s="177">
        <v>220782</v>
      </c>
      <c r="CE13" s="177">
        <v>189337</v>
      </c>
      <c r="CF13" s="177">
        <v>122087</v>
      </c>
      <c r="CG13" s="177">
        <v>189884</v>
      </c>
      <c r="CH13" s="177">
        <v>189403</v>
      </c>
      <c r="CI13" s="177">
        <v>207710</v>
      </c>
      <c r="CJ13" s="177">
        <v>276363</v>
      </c>
      <c r="CK13" s="178">
        <v>131059</v>
      </c>
      <c r="CL13" s="180">
        <v>10744921</v>
      </c>
      <c r="CM13" s="56"/>
    </row>
    <row r="14" spans="1:91">
      <c r="A14" s="93">
        <f>ROWS($A$3:A12)</f>
        <v>10</v>
      </c>
      <c r="B14" s="62" t="s">
        <v>64</v>
      </c>
      <c r="C14" s="312"/>
      <c r="D14" s="314" t="s">
        <v>13</v>
      </c>
      <c r="E14" s="333"/>
      <c r="F14" s="182">
        <f>F13/F7*100</f>
        <v>378.95143630039934</v>
      </c>
      <c r="G14" s="183">
        <f>G13/G7*100</f>
        <v>396.07853055820925</v>
      </c>
      <c r="H14" s="183">
        <f>H13/H7*100</f>
        <v>234.94135607980664</v>
      </c>
      <c r="I14" s="184">
        <f>I13/I7*100</f>
        <v>202.69375900601614</v>
      </c>
      <c r="J14" s="181"/>
      <c r="K14" s="185">
        <f t="shared" si="0"/>
        <v>206.49324874137486</v>
      </c>
      <c r="L14" s="186">
        <f t="shared" si="1"/>
        <v>484.41513039830335</v>
      </c>
      <c r="M14" s="186">
        <f t="shared" si="2"/>
        <v>102.89019556734462</v>
      </c>
      <c r="N14" s="186">
        <f t="shared" si="3"/>
        <v>394.67276916370884</v>
      </c>
      <c r="O14" s="186">
        <f t="shared" si="4"/>
        <v>210.2532210741166</v>
      </c>
      <c r="P14" s="183">
        <f>P13/P7*100</f>
        <v>376.28374492628001</v>
      </c>
      <c r="Q14" s="186">
        <f>'2009'!AU14</f>
        <v>601.46637533381886</v>
      </c>
      <c r="R14" s="183">
        <f>R13/R7*100</f>
        <v>1250.9030721227507</v>
      </c>
      <c r="S14" s="186">
        <f t="shared" si="6"/>
        <v>801.44197792604609</v>
      </c>
      <c r="T14" s="186">
        <f t="shared" si="7"/>
        <v>140.36433859028</v>
      </c>
      <c r="U14" s="187">
        <f t="shared" si="8"/>
        <v>127.15143428952635</v>
      </c>
      <c r="V14" s="183">
        <f>V13/V7*100</f>
        <v>320.15791389824335</v>
      </c>
      <c r="W14" s="186">
        <f t="shared" si="10"/>
        <v>138.55492258924059</v>
      </c>
      <c r="X14" s="183">
        <f>X13/X7*100</f>
        <v>574.96066621108332</v>
      </c>
      <c r="Y14" s="183">
        <f>Y13/Y7*100</f>
        <v>756.14476514811747</v>
      </c>
      <c r="Z14" s="186">
        <f t="shared" si="13"/>
        <v>131.21481718253335</v>
      </c>
      <c r="AA14" s="183">
        <f>AA13/AA7*100</f>
        <v>467.98672006431536</v>
      </c>
      <c r="AB14" s="187">
        <f t="shared" si="15"/>
        <v>198.18560268836754</v>
      </c>
      <c r="AC14" s="186">
        <f t="shared" si="16"/>
        <v>202.15459643989271</v>
      </c>
      <c r="AD14" s="186">
        <f t="shared" si="17"/>
        <v>232.08654468435608</v>
      </c>
      <c r="AE14" s="183">
        <f>AE13/AE7*100</f>
        <v>308.44004466530407</v>
      </c>
      <c r="AF14" s="186">
        <f t="shared" si="19"/>
        <v>275.66840611326649</v>
      </c>
      <c r="AG14" s="186">
        <f t="shared" si="20"/>
        <v>225.44614636518355</v>
      </c>
      <c r="AH14" s="186">
        <f t="shared" si="21"/>
        <v>339.30929095354526</v>
      </c>
      <c r="AI14" s="186">
        <f t="shared" si="22"/>
        <v>182.35187086544585</v>
      </c>
      <c r="AJ14" s="186">
        <f t="shared" si="23"/>
        <v>183.44386191870362</v>
      </c>
      <c r="AK14" s="187">
        <f t="shared" si="24"/>
        <v>147.09148131122035</v>
      </c>
      <c r="AL14" s="186">
        <f t="shared" si="25"/>
        <v>206.31238286187511</v>
      </c>
      <c r="AM14" s="186">
        <f t="shared" si="26"/>
        <v>134.35219010462848</v>
      </c>
      <c r="AN14" s="186">
        <f t="shared" si="27"/>
        <v>169.35875280361805</v>
      </c>
      <c r="AO14" s="186">
        <f t="shared" si="28"/>
        <v>256.77945961756427</v>
      </c>
      <c r="AP14" s="186">
        <f t="shared" si="29"/>
        <v>425.25135791055123</v>
      </c>
      <c r="AQ14" s="186">
        <f t="shared" si="30"/>
        <v>108.82135591813011</v>
      </c>
      <c r="AR14" s="186">
        <f t="shared" si="31"/>
        <v>312.44923132464874</v>
      </c>
      <c r="AS14" s="184">
        <f t="shared" ref="AS14:CL14" si="33">AS13/AS7*100</f>
        <v>211.36103413933509</v>
      </c>
      <c r="AT14" s="183">
        <f t="shared" si="33"/>
        <v>2901.5963346997828</v>
      </c>
      <c r="AU14" s="183">
        <f t="shared" si="33"/>
        <v>601.46637533381886</v>
      </c>
      <c r="AV14" s="183">
        <f t="shared" si="33"/>
        <v>801.44197792604609</v>
      </c>
      <c r="AW14" s="183">
        <f t="shared" si="33"/>
        <v>394.67276916370884</v>
      </c>
      <c r="AX14" s="183">
        <f t="shared" si="33"/>
        <v>752.56107859410031</v>
      </c>
      <c r="AY14" s="183">
        <f t="shared" si="33"/>
        <v>484.41513039830335</v>
      </c>
      <c r="AZ14" s="183">
        <f t="shared" si="33"/>
        <v>1225.6207448938726</v>
      </c>
      <c r="BA14" s="183">
        <f t="shared" si="33"/>
        <v>299.15903739328871</v>
      </c>
      <c r="BB14" s="183">
        <f t="shared" si="33"/>
        <v>140.36433859028</v>
      </c>
      <c r="BC14" s="183">
        <f t="shared" si="33"/>
        <v>127.15143428952635</v>
      </c>
      <c r="BD14" s="183">
        <f t="shared" si="33"/>
        <v>102.89019556734462</v>
      </c>
      <c r="BE14" s="183">
        <f t="shared" si="33"/>
        <v>210.2532210741166</v>
      </c>
      <c r="BF14" s="188">
        <f t="shared" si="33"/>
        <v>206.49324874137486</v>
      </c>
      <c r="BG14" s="183">
        <f t="shared" si="33"/>
        <v>388.6598673418444</v>
      </c>
      <c r="BH14" s="183">
        <f t="shared" si="33"/>
        <v>1683.1488527614435</v>
      </c>
      <c r="BI14" s="183">
        <f t="shared" si="33"/>
        <v>397.79354838709679</v>
      </c>
      <c r="BJ14" s="183">
        <f t="shared" si="33"/>
        <v>307.15668358714044</v>
      </c>
      <c r="BK14" s="183">
        <f t="shared" si="33"/>
        <v>1345.8237618303776</v>
      </c>
      <c r="BL14" s="183">
        <f t="shared" si="33"/>
        <v>2152.1040286975717</v>
      </c>
      <c r="BM14" s="183">
        <f t="shared" si="33"/>
        <v>131.21481718253335</v>
      </c>
      <c r="BN14" s="183">
        <f t="shared" si="33"/>
        <v>505.10586595335872</v>
      </c>
      <c r="BO14" s="183">
        <f t="shared" si="33"/>
        <v>1222.20181614121</v>
      </c>
      <c r="BP14" s="183">
        <f t="shared" si="33"/>
        <v>198.18560268836754</v>
      </c>
      <c r="BQ14" s="183">
        <f t="shared" si="33"/>
        <v>339.13331473992469</v>
      </c>
      <c r="BR14" s="188">
        <f t="shared" si="33"/>
        <v>138.55492258924059</v>
      </c>
      <c r="BS14" s="183">
        <f t="shared" si="33"/>
        <v>1449.9150659871946</v>
      </c>
      <c r="BT14" s="183">
        <f t="shared" si="33"/>
        <v>181.68218060986848</v>
      </c>
      <c r="BU14" s="183">
        <f t="shared" si="33"/>
        <v>232.08654468435608</v>
      </c>
      <c r="BV14" s="183">
        <f t="shared" si="33"/>
        <v>225.44614636518355</v>
      </c>
      <c r="BW14" s="183">
        <f t="shared" si="33"/>
        <v>182.35187086544585</v>
      </c>
      <c r="BX14" s="183">
        <f t="shared" si="33"/>
        <v>202.15459643989271</v>
      </c>
      <c r="BY14" s="183">
        <f t="shared" si="33"/>
        <v>183.44386191870362</v>
      </c>
      <c r="BZ14" s="183">
        <f t="shared" si="33"/>
        <v>339.30929095354526</v>
      </c>
      <c r="CA14" s="183">
        <f t="shared" si="33"/>
        <v>275.66840611326649</v>
      </c>
      <c r="CB14" s="188">
        <f t="shared" si="33"/>
        <v>147.09148131122035</v>
      </c>
      <c r="CC14" s="183">
        <f t="shared" si="33"/>
        <v>256.77945961756427</v>
      </c>
      <c r="CD14" s="183">
        <f t="shared" si="33"/>
        <v>425.25135791055123</v>
      </c>
      <c r="CE14" s="183">
        <f t="shared" si="33"/>
        <v>206.31238286187511</v>
      </c>
      <c r="CF14" s="183">
        <f t="shared" si="33"/>
        <v>1028.620776813548</v>
      </c>
      <c r="CG14" s="183">
        <f t="shared" si="33"/>
        <v>139.89626617157342</v>
      </c>
      <c r="CH14" s="183">
        <f t="shared" si="33"/>
        <v>134.35219010462848</v>
      </c>
      <c r="CI14" s="183">
        <f t="shared" si="33"/>
        <v>312.44923132464874</v>
      </c>
      <c r="CJ14" s="183">
        <f t="shared" si="33"/>
        <v>169.35875280361805</v>
      </c>
      <c r="CK14" s="184">
        <f t="shared" si="33"/>
        <v>108.82135591813011</v>
      </c>
      <c r="CL14" s="189">
        <f t="shared" si="33"/>
        <v>300.54504083051177</v>
      </c>
    </row>
    <row r="15" spans="1:91">
      <c r="A15" s="93">
        <f>ROWS($A$3:A13)</f>
        <v>11</v>
      </c>
      <c r="B15" s="67" t="s">
        <v>303</v>
      </c>
      <c r="C15" s="312"/>
      <c r="D15" s="314"/>
      <c r="E15" s="333"/>
      <c r="F15" s="182"/>
      <c r="G15" s="183"/>
      <c r="H15" s="183"/>
      <c r="I15" s="184"/>
      <c r="J15" s="181"/>
      <c r="K15" s="185"/>
      <c r="L15" s="186"/>
      <c r="M15" s="186"/>
      <c r="N15" s="186"/>
      <c r="O15" s="186"/>
      <c r="P15" s="183"/>
      <c r="Q15" s="186"/>
      <c r="R15" s="183"/>
      <c r="S15" s="186"/>
      <c r="T15" s="186"/>
      <c r="U15" s="187"/>
      <c r="V15" s="183"/>
      <c r="W15" s="186"/>
      <c r="X15" s="183"/>
      <c r="Y15" s="183"/>
      <c r="Z15" s="186"/>
      <c r="AA15" s="183"/>
      <c r="AB15" s="187"/>
      <c r="AC15" s="186"/>
      <c r="AD15" s="186"/>
      <c r="AE15" s="183"/>
      <c r="AF15" s="186"/>
      <c r="AG15" s="186"/>
      <c r="AH15" s="186"/>
      <c r="AI15" s="186"/>
      <c r="AJ15" s="186"/>
      <c r="AK15" s="187"/>
      <c r="AL15" s="186"/>
      <c r="AM15" s="186"/>
      <c r="AN15" s="186"/>
      <c r="AO15" s="186"/>
      <c r="AP15" s="186"/>
      <c r="AQ15" s="186"/>
      <c r="AR15" s="186"/>
      <c r="AS15" s="184"/>
      <c r="AT15" s="183"/>
      <c r="AU15" s="183"/>
      <c r="AV15" s="183"/>
      <c r="AW15" s="183"/>
      <c r="AX15" s="183"/>
      <c r="AY15" s="183"/>
      <c r="AZ15" s="183"/>
      <c r="BA15" s="183"/>
      <c r="BB15" s="183"/>
      <c r="BC15" s="183"/>
      <c r="BD15" s="183"/>
      <c r="BE15" s="183"/>
      <c r="BF15" s="188"/>
      <c r="BG15" s="183"/>
      <c r="BH15" s="183"/>
      <c r="BI15" s="183"/>
      <c r="BJ15" s="183"/>
      <c r="BK15" s="183"/>
      <c r="BL15" s="183"/>
      <c r="BM15" s="183"/>
      <c r="BN15" s="183"/>
      <c r="BO15" s="183"/>
      <c r="BP15" s="183"/>
      <c r="BQ15" s="183"/>
      <c r="BR15" s="188"/>
      <c r="BS15" s="183"/>
      <c r="BT15" s="183"/>
      <c r="BU15" s="183"/>
      <c r="BV15" s="183"/>
      <c r="BW15" s="183"/>
      <c r="BX15" s="183"/>
      <c r="BY15" s="183"/>
      <c r="BZ15" s="183"/>
      <c r="CA15" s="183"/>
      <c r="CB15" s="188"/>
      <c r="CC15" s="183"/>
      <c r="CD15" s="183"/>
      <c r="CE15" s="183"/>
      <c r="CF15" s="183"/>
      <c r="CG15" s="183"/>
      <c r="CH15" s="183"/>
      <c r="CI15" s="183"/>
      <c r="CJ15" s="183"/>
      <c r="CK15" s="184"/>
      <c r="CL15" s="189"/>
    </row>
    <row r="16" spans="1:91">
      <c r="A16" s="93">
        <f>ROWS($A$3:A14)</f>
        <v>12</v>
      </c>
      <c r="B16" s="106" t="s">
        <v>214</v>
      </c>
      <c r="C16" s="242">
        <v>2009</v>
      </c>
      <c r="D16" s="314" t="s">
        <v>12</v>
      </c>
      <c r="E16" s="316">
        <v>40697</v>
      </c>
      <c r="F16" s="156">
        <v>2147800</v>
      </c>
      <c r="G16" s="177">
        <v>1430400</v>
      </c>
      <c r="H16" s="177">
        <v>1079400</v>
      </c>
      <c r="I16" s="178">
        <v>914000</v>
      </c>
      <c r="J16" s="181"/>
      <c r="K16" s="156">
        <f t="shared" si="0"/>
        <v>149400</v>
      </c>
      <c r="L16" s="177">
        <f t="shared" si="1"/>
        <v>181300</v>
      </c>
      <c r="M16" s="177">
        <f t="shared" si="2"/>
        <v>70600</v>
      </c>
      <c r="N16" s="177">
        <f t="shared" si="3"/>
        <v>111200</v>
      </c>
      <c r="O16" s="177">
        <f t="shared" si="4"/>
        <v>63800</v>
      </c>
      <c r="P16" s="177">
        <f>'2009'!AZ16+'2009'!BA16</f>
        <v>244700</v>
      </c>
      <c r="Q16" s="177">
        <f>'2009'!AU16</f>
        <v>211400</v>
      </c>
      <c r="R16" s="177">
        <f>AT16+AX16</f>
        <v>706900</v>
      </c>
      <c r="S16" s="177">
        <f t="shared" si="6"/>
        <v>251500</v>
      </c>
      <c r="T16" s="177">
        <f t="shared" si="7"/>
        <v>61700</v>
      </c>
      <c r="U16" s="179">
        <f t="shared" si="8"/>
        <v>95400</v>
      </c>
      <c r="V16" s="177">
        <f>BG16+BJ16</f>
        <v>152400</v>
      </c>
      <c r="W16" s="177">
        <f t="shared" si="10"/>
        <v>59600</v>
      </c>
      <c r="X16" s="177">
        <f>BH16+BI16</f>
        <v>409500</v>
      </c>
      <c r="Y16" s="177">
        <f>BK16+BL16+BN16</f>
        <v>544600</v>
      </c>
      <c r="Z16" s="177">
        <f t="shared" si="13"/>
        <v>61500</v>
      </c>
      <c r="AA16" s="177">
        <f>BO16+BQ16</f>
        <v>141900</v>
      </c>
      <c r="AB16" s="179">
        <f t="shared" si="15"/>
        <v>60800</v>
      </c>
      <c r="AC16" s="177">
        <f t="shared" si="16"/>
        <v>106700</v>
      </c>
      <c r="AD16" s="177">
        <f t="shared" si="17"/>
        <v>63800</v>
      </c>
      <c r="AE16" s="177">
        <f>BS16+BT16</f>
        <v>253800</v>
      </c>
      <c r="AF16" s="177">
        <f t="shared" si="19"/>
        <v>100100</v>
      </c>
      <c r="AG16" s="177">
        <f t="shared" si="20"/>
        <v>218900</v>
      </c>
      <c r="AH16" s="177">
        <f t="shared" si="21"/>
        <v>127800</v>
      </c>
      <c r="AI16" s="177">
        <f t="shared" si="22"/>
        <v>68400</v>
      </c>
      <c r="AJ16" s="177">
        <f t="shared" si="23"/>
        <v>69500</v>
      </c>
      <c r="AK16" s="179">
        <f t="shared" si="24"/>
        <v>70400</v>
      </c>
      <c r="AL16" s="177">
        <f t="shared" si="25"/>
        <v>87300</v>
      </c>
      <c r="AM16" s="177">
        <f t="shared" si="26"/>
        <v>95400</v>
      </c>
      <c r="AN16" s="177">
        <f t="shared" si="27"/>
        <v>141300</v>
      </c>
      <c r="AO16" s="177">
        <f t="shared" si="28"/>
        <v>138400</v>
      </c>
      <c r="AP16" s="177">
        <f t="shared" si="29"/>
        <v>97300</v>
      </c>
      <c r="AQ16" s="177">
        <f t="shared" si="30"/>
        <v>65000</v>
      </c>
      <c r="AR16" s="177">
        <f t="shared" si="31"/>
        <v>107900</v>
      </c>
      <c r="AS16" s="178">
        <f>CF16+CG16</f>
        <v>181200</v>
      </c>
      <c r="AT16" s="181">
        <v>470600</v>
      </c>
      <c r="AU16" s="181">
        <v>211400</v>
      </c>
      <c r="AV16" s="181">
        <v>251500</v>
      </c>
      <c r="AW16" s="181">
        <v>111200</v>
      </c>
      <c r="AX16" s="181">
        <v>236300</v>
      </c>
      <c r="AY16" s="177">
        <v>181300</v>
      </c>
      <c r="AZ16" s="177">
        <v>92600</v>
      </c>
      <c r="BA16" s="177">
        <v>152100</v>
      </c>
      <c r="BB16" s="177">
        <v>61700</v>
      </c>
      <c r="BC16" s="177">
        <v>95400</v>
      </c>
      <c r="BD16" s="177">
        <v>70600</v>
      </c>
      <c r="BE16" s="177">
        <v>63800</v>
      </c>
      <c r="BF16" s="179">
        <v>149400</v>
      </c>
      <c r="BG16" s="177">
        <v>42700</v>
      </c>
      <c r="BH16" s="177">
        <v>218500</v>
      </c>
      <c r="BI16" s="177">
        <v>191000</v>
      </c>
      <c r="BJ16" s="177">
        <v>109700</v>
      </c>
      <c r="BK16" s="177">
        <v>110300</v>
      </c>
      <c r="BL16" s="177">
        <v>220200</v>
      </c>
      <c r="BM16" s="177">
        <v>61500</v>
      </c>
      <c r="BN16" s="177">
        <v>214100</v>
      </c>
      <c r="BO16" s="177">
        <v>68700</v>
      </c>
      <c r="BP16" s="177">
        <v>60800</v>
      </c>
      <c r="BQ16" s="177">
        <v>73200</v>
      </c>
      <c r="BR16" s="179">
        <v>59600</v>
      </c>
      <c r="BS16" s="177">
        <v>149800</v>
      </c>
      <c r="BT16" s="177">
        <v>104000</v>
      </c>
      <c r="BU16" s="177">
        <v>63800</v>
      </c>
      <c r="BV16" s="177">
        <v>218900</v>
      </c>
      <c r="BW16" s="177">
        <v>68400</v>
      </c>
      <c r="BX16" s="177">
        <v>106700</v>
      </c>
      <c r="BY16" s="177">
        <v>69500</v>
      </c>
      <c r="BZ16" s="177">
        <v>127800</v>
      </c>
      <c r="CA16" s="177">
        <v>100100</v>
      </c>
      <c r="CB16" s="179">
        <v>70400</v>
      </c>
      <c r="CC16" s="177">
        <v>138400</v>
      </c>
      <c r="CD16" s="177">
        <v>97300</v>
      </c>
      <c r="CE16" s="177">
        <v>87300</v>
      </c>
      <c r="CF16" s="177">
        <v>109800</v>
      </c>
      <c r="CG16" s="177">
        <v>71400</v>
      </c>
      <c r="CH16" s="177">
        <v>95400</v>
      </c>
      <c r="CI16" s="177">
        <v>107900</v>
      </c>
      <c r="CJ16" s="177">
        <v>141300</v>
      </c>
      <c r="CK16" s="178">
        <v>65000</v>
      </c>
      <c r="CL16" s="180">
        <v>5571500</v>
      </c>
    </row>
    <row r="17" spans="1:90" ht="14.25">
      <c r="A17" s="93">
        <f>ROWS($A$3:A15)</f>
        <v>13</v>
      </c>
      <c r="B17" s="62" t="s">
        <v>262</v>
      </c>
      <c r="C17" s="312"/>
      <c r="D17" s="314" t="s">
        <v>4</v>
      </c>
      <c r="E17" s="316"/>
      <c r="F17" s="207">
        <f>(AT16*AT17+AU16*AU17+AV16*AV17+AW16*AW17+AX16*AX17+AY16*AY17+AZ16*AZ17+BA16*BA17+BB16*BB17+BC16*BC17+BD16*BD17+BE16*BE17+BF16*BF17)/F16</f>
        <v>5.2734239687121702</v>
      </c>
      <c r="G17" s="208">
        <f>(BG16*BG17+BH16*BH17+BI16*BI17+BJ16*BJ17+BK16*BK17+BL16*BL17+BM16*BM17+BN16*BN17+BO16*BO17+BP16*BP17+BQ16*BQ17+BR16*BR17)/G16</f>
        <v>5.9508738814317672</v>
      </c>
      <c r="H17" s="208">
        <f>(BS16*BS17+BT16*BT17+BU16*BU17+BV16*BV17+BW16*BW17+BX16*BX17+BY16*BY17+BZ16*BZ17+CA16*CA17+CB16*CB17)/H16</f>
        <v>5.1313600148230503</v>
      </c>
      <c r="I17" s="209">
        <f>(CC16*CC17+CD16*CD17+CE16*CE17+CF16*CF17+CG16*CG17+CH16*CH17+CI16*CI17+CJ16*CJ17+CK16*CK17)/I16</f>
        <v>4.576794310722101</v>
      </c>
      <c r="J17" s="213"/>
      <c r="K17" s="210">
        <f t="shared" si="0"/>
        <v>5</v>
      </c>
      <c r="L17" s="211">
        <f t="shared" si="1"/>
        <v>4.7</v>
      </c>
      <c r="M17" s="211">
        <f t="shared" si="2"/>
        <v>4.7</v>
      </c>
      <c r="N17" s="211">
        <f t="shared" si="3"/>
        <v>5.4</v>
      </c>
      <c r="O17" s="211">
        <f t="shared" si="4"/>
        <v>5.5</v>
      </c>
      <c r="P17" s="208">
        <f>ROUND((AZ16*AZ17/100+BA16*BA17/100)/P16%,1)</f>
        <v>6.1</v>
      </c>
      <c r="Q17" s="211">
        <f>'2009'!AU17</f>
        <v>4.5</v>
      </c>
      <c r="R17" s="208">
        <f>ROUND((AT16*AT17/100+AX16*AX17/100)/R16%,1)</f>
        <v>5.9</v>
      </c>
      <c r="S17" s="211">
        <f t="shared" si="6"/>
        <v>4.5999999999999996</v>
      </c>
      <c r="T17" s="211">
        <f t="shared" si="7"/>
        <v>4.5999999999999996</v>
      </c>
      <c r="U17" s="212">
        <f t="shared" si="8"/>
        <v>4.4000000000000004</v>
      </c>
      <c r="V17" s="208">
        <f>ROUND((BG16*BG17/100+BJ16*BJ17/100)/V16%,1)</f>
        <v>5.2</v>
      </c>
      <c r="W17" s="211">
        <f t="shared" si="10"/>
        <v>4.8</v>
      </c>
      <c r="X17" s="208">
        <f>ROUND((BH16*BH17/100+BI16*BI17/100)/X16%,1)</f>
        <v>5.5</v>
      </c>
      <c r="Y17" s="208">
        <f>ROUND((BK16*BK17/100+BL16*BL17/100+BN16*BN17/100)/Y16%,1)</f>
        <v>6.6</v>
      </c>
      <c r="Z17" s="211">
        <f t="shared" si="13"/>
        <v>5.3</v>
      </c>
      <c r="AA17" s="208">
        <f>ROUND((BO16*BO17/100+BQ16*BQ17/100)/AA16%,1)</f>
        <v>7.1</v>
      </c>
      <c r="AB17" s="212">
        <f t="shared" si="15"/>
        <v>4.8</v>
      </c>
      <c r="AC17" s="211">
        <f t="shared" si="16"/>
        <v>5.7</v>
      </c>
      <c r="AD17" s="211">
        <f t="shared" si="17"/>
        <v>3.9</v>
      </c>
      <c r="AE17" s="208">
        <f>ROUND((BS16*BS17/100+BT16*BT17/100)/AE16%,1)</f>
        <v>5.8</v>
      </c>
      <c r="AF17" s="211">
        <f t="shared" si="19"/>
        <v>4.8</v>
      </c>
      <c r="AG17" s="211">
        <f t="shared" si="20"/>
        <v>4.8</v>
      </c>
      <c r="AH17" s="211">
        <f t="shared" si="21"/>
        <v>5.3</v>
      </c>
      <c r="AI17" s="211">
        <f t="shared" si="22"/>
        <v>4.9000000000000004</v>
      </c>
      <c r="AJ17" s="211">
        <f t="shared" si="23"/>
        <v>5</v>
      </c>
      <c r="AK17" s="212">
        <f t="shared" si="24"/>
        <v>4.4000000000000004</v>
      </c>
      <c r="AL17" s="211">
        <f t="shared" si="25"/>
        <v>5.7</v>
      </c>
      <c r="AM17" s="211">
        <f t="shared" si="26"/>
        <v>3.6</v>
      </c>
      <c r="AN17" s="211">
        <f t="shared" si="27"/>
        <v>3.8</v>
      </c>
      <c r="AO17" s="211">
        <f t="shared" si="28"/>
        <v>4.9000000000000004</v>
      </c>
      <c r="AP17" s="211">
        <f t="shared" si="29"/>
        <v>4.5</v>
      </c>
      <c r="AQ17" s="211">
        <f t="shared" si="30"/>
        <v>5.0999999999999996</v>
      </c>
      <c r="AR17" s="211">
        <f t="shared" si="31"/>
        <v>4.0999999999999996</v>
      </c>
      <c r="AS17" s="209">
        <f>ROUND((CF16*CF17/100+CG16*CG17/100)/AS16%,1)</f>
        <v>5.0999999999999996</v>
      </c>
      <c r="AT17" s="213">
        <v>6.4</v>
      </c>
      <c r="AU17" s="213">
        <v>4.5</v>
      </c>
      <c r="AV17" s="213">
        <v>4.5999999999999996</v>
      </c>
      <c r="AW17" s="213">
        <v>5.4</v>
      </c>
      <c r="AX17" s="213">
        <v>4.8</v>
      </c>
      <c r="AY17" s="211">
        <v>4.7</v>
      </c>
      <c r="AZ17" s="211">
        <v>8</v>
      </c>
      <c r="BA17" s="211">
        <v>4.9000000000000004</v>
      </c>
      <c r="BB17" s="211">
        <v>4.5999999999999996</v>
      </c>
      <c r="BC17" s="211">
        <v>4.4000000000000004</v>
      </c>
      <c r="BD17" s="211">
        <v>4.7</v>
      </c>
      <c r="BE17" s="211">
        <v>5.5</v>
      </c>
      <c r="BF17" s="212">
        <v>5</v>
      </c>
      <c r="BG17" s="211">
        <v>6.9</v>
      </c>
      <c r="BH17" s="211">
        <v>6.6</v>
      </c>
      <c r="BI17" s="211">
        <v>4.2</v>
      </c>
      <c r="BJ17" s="211">
        <v>4.5</v>
      </c>
      <c r="BK17" s="211">
        <v>6.3</v>
      </c>
      <c r="BL17" s="211">
        <v>8.6</v>
      </c>
      <c r="BM17" s="211">
        <v>5.3</v>
      </c>
      <c r="BN17" s="211">
        <v>4.5999999999999996</v>
      </c>
      <c r="BO17" s="211">
        <v>9.9</v>
      </c>
      <c r="BP17" s="211">
        <v>4.8</v>
      </c>
      <c r="BQ17" s="211">
        <v>4.4000000000000004</v>
      </c>
      <c r="BR17" s="212">
        <v>4.8</v>
      </c>
      <c r="BS17" s="211">
        <v>6.9</v>
      </c>
      <c r="BT17" s="211">
        <v>4.3</v>
      </c>
      <c r="BU17" s="211">
        <v>3.9</v>
      </c>
      <c r="BV17" s="211">
        <v>4.8</v>
      </c>
      <c r="BW17" s="211">
        <v>4.9000000000000004</v>
      </c>
      <c r="BX17" s="211">
        <v>5.7</v>
      </c>
      <c r="BY17" s="211">
        <v>5</v>
      </c>
      <c r="BZ17" s="211">
        <v>5.3</v>
      </c>
      <c r="CA17" s="211">
        <v>4.8</v>
      </c>
      <c r="CB17" s="212">
        <v>4.4000000000000004</v>
      </c>
      <c r="CC17" s="211">
        <v>4.9000000000000004</v>
      </c>
      <c r="CD17" s="211">
        <v>4.5</v>
      </c>
      <c r="CE17" s="211">
        <v>5.7</v>
      </c>
      <c r="CF17" s="211">
        <v>5.8</v>
      </c>
      <c r="CG17" s="211">
        <v>3.9</v>
      </c>
      <c r="CH17" s="211">
        <v>3.6</v>
      </c>
      <c r="CI17" s="211">
        <v>4.0999999999999996</v>
      </c>
      <c r="CJ17" s="211">
        <v>3.8</v>
      </c>
      <c r="CK17" s="214">
        <v>5.0999999999999996</v>
      </c>
      <c r="CL17" s="215">
        <v>5.0999999999999996</v>
      </c>
    </row>
    <row r="18" spans="1:90">
      <c r="A18" s="93">
        <f>ROWS($A$3:A16)</f>
        <v>14</v>
      </c>
      <c r="B18" s="297" t="s">
        <v>304</v>
      </c>
      <c r="C18" s="242">
        <v>2007</v>
      </c>
      <c r="D18" s="314" t="s">
        <v>12</v>
      </c>
      <c r="E18" s="316"/>
      <c r="F18" s="156">
        <v>84065</v>
      </c>
      <c r="G18" s="177">
        <v>29190</v>
      </c>
      <c r="H18" s="177">
        <v>77208</v>
      </c>
      <c r="I18" s="178">
        <v>46957</v>
      </c>
      <c r="J18" s="213"/>
      <c r="K18" s="156">
        <f>BF18</f>
        <v>6256</v>
      </c>
      <c r="L18" s="177">
        <f>AY18</f>
        <v>8739</v>
      </c>
      <c r="M18" s="177">
        <f>BD18</f>
        <v>6943</v>
      </c>
      <c r="N18" s="177">
        <f>AW18</f>
        <v>2639</v>
      </c>
      <c r="O18" s="177">
        <f>BE18</f>
        <v>1814</v>
      </c>
      <c r="P18" s="183">
        <f>'2009'!AZ18+'2009'!BA18</f>
        <v>21440</v>
      </c>
      <c r="Q18" s="177">
        <f>'2009'!AU18</f>
        <v>2519</v>
      </c>
      <c r="R18" s="183">
        <f>AT18+AX18</f>
        <v>14752</v>
      </c>
      <c r="S18" s="177">
        <f>AV18</f>
        <v>4108</v>
      </c>
      <c r="T18" s="177">
        <f>BB18</f>
        <v>7702</v>
      </c>
      <c r="U18" s="179">
        <f>BC18</f>
        <v>7153</v>
      </c>
      <c r="V18" s="183">
        <f>BG18+BJ18</f>
        <v>6080</v>
      </c>
      <c r="W18" s="177">
        <f>BR18</f>
        <v>1976</v>
      </c>
      <c r="X18" s="183">
        <f>BH18+BI18</f>
        <v>5832</v>
      </c>
      <c r="Y18" s="183">
        <f>BK18+BL18+BN18</f>
        <v>7989</v>
      </c>
      <c r="Z18" s="177">
        <f>BM18</f>
        <v>3095</v>
      </c>
      <c r="AA18" s="183">
        <f>BO18+BQ18</f>
        <v>2360</v>
      </c>
      <c r="AB18" s="179">
        <f>BP18</f>
        <v>1858</v>
      </c>
      <c r="AC18" s="177">
        <f>BX18</f>
        <v>3803</v>
      </c>
      <c r="AD18" s="177">
        <f>BU18</f>
        <v>10040</v>
      </c>
      <c r="AE18" s="183">
        <f>BS18+BT18</f>
        <v>22621</v>
      </c>
      <c r="AF18" s="177">
        <f>CA18</f>
        <v>5993</v>
      </c>
      <c r="AG18" s="177">
        <f>BV18</f>
        <v>21077</v>
      </c>
      <c r="AH18" s="177">
        <f>BZ18</f>
        <v>4856</v>
      </c>
      <c r="AI18" s="177">
        <f>BW18</f>
        <v>2841</v>
      </c>
      <c r="AJ18" s="177">
        <f>BY18</f>
        <v>1487</v>
      </c>
      <c r="AK18" s="179">
        <f>CB18</f>
        <v>4490</v>
      </c>
      <c r="AL18" s="177">
        <f>CE18</f>
        <v>2263</v>
      </c>
      <c r="AM18" s="177">
        <f>CH18</f>
        <v>5995</v>
      </c>
      <c r="AN18" s="177">
        <f>CJ18</f>
        <v>9801</v>
      </c>
      <c r="AO18" s="177">
        <f>CC18</f>
        <v>3932</v>
      </c>
      <c r="AP18" s="177">
        <f>CD18</f>
        <v>1573</v>
      </c>
      <c r="AQ18" s="177">
        <f>CK18</f>
        <v>4297</v>
      </c>
      <c r="AR18" s="177">
        <f>CI18</f>
        <v>12635</v>
      </c>
      <c r="AS18" s="184">
        <f>CF18+CG18</f>
        <v>6461</v>
      </c>
      <c r="AT18" s="177">
        <v>2417</v>
      </c>
      <c r="AU18" s="177">
        <v>2519</v>
      </c>
      <c r="AV18" s="177">
        <v>4108</v>
      </c>
      <c r="AW18" s="181">
        <v>2639</v>
      </c>
      <c r="AX18" s="177">
        <v>12335</v>
      </c>
      <c r="AY18" s="177">
        <v>8739</v>
      </c>
      <c r="AZ18" s="177">
        <v>2151</v>
      </c>
      <c r="BA18" s="177">
        <v>19289</v>
      </c>
      <c r="BB18" s="177">
        <v>7702</v>
      </c>
      <c r="BC18" s="177">
        <v>7153</v>
      </c>
      <c r="BD18" s="177">
        <v>6943</v>
      </c>
      <c r="BE18" s="177">
        <v>1814</v>
      </c>
      <c r="BF18" s="179">
        <v>6256</v>
      </c>
      <c r="BG18" s="177">
        <v>1187</v>
      </c>
      <c r="BH18" s="177">
        <v>704</v>
      </c>
      <c r="BI18" s="177">
        <v>5128</v>
      </c>
      <c r="BJ18" s="177">
        <v>4893</v>
      </c>
      <c r="BK18" s="177">
        <v>774</v>
      </c>
      <c r="BL18" s="177">
        <v>453</v>
      </c>
      <c r="BM18" s="177">
        <v>3095</v>
      </c>
      <c r="BN18" s="177">
        <v>6762</v>
      </c>
      <c r="BO18" s="177">
        <v>168</v>
      </c>
      <c r="BP18" s="177">
        <v>1858</v>
      </c>
      <c r="BQ18" s="177">
        <v>2192</v>
      </c>
      <c r="BR18" s="179">
        <v>1976</v>
      </c>
      <c r="BS18" s="177">
        <v>1807</v>
      </c>
      <c r="BT18" s="177">
        <v>20814</v>
      </c>
      <c r="BU18" s="177">
        <v>10040</v>
      </c>
      <c r="BV18" s="177">
        <v>21077</v>
      </c>
      <c r="BW18" s="177">
        <v>2841</v>
      </c>
      <c r="BX18" s="177">
        <v>3803</v>
      </c>
      <c r="BY18" s="177">
        <v>1487</v>
      </c>
      <c r="BZ18" s="177">
        <v>4856</v>
      </c>
      <c r="CA18" s="177">
        <v>5993</v>
      </c>
      <c r="CB18" s="179">
        <v>4490</v>
      </c>
      <c r="CC18" s="177">
        <v>3932</v>
      </c>
      <c r="CD18" s="177">
        <v>1573</v>
      </c>
      <c r="CE18" s="177">
        <v>2263</v>
      </c>
      <c r="CF18" s="177">
        <v>491</v>
      </c>
      <c r="CG18" s="177">
        <v>5970</v>
      </c>
      <c r="CH18" s="177">
        <v>5995</v>
      </c>
      <c r="CI18" s="177">
        <v>12635</v>
      </c>
      <c r="CJ18" s="177">
        <v>9801</v>
      </c>
      <c r="CK18" s="178">
        <v>4297</v>
      </c>
      <c r="CL18" s="180">
        <v>237420</v>
      </c>
    </row>
    <row r="19" spans="1:90">
      <c r="A19" s="93">
        <f>ROWS($A$3:A17)</f>
        <v>15</v>
      </c>
      <c r="B19" s="297" t="s">
        <v>302</v>
      </c>
      <c r="C19" s="312"/>
      <c r="D19" s="314" t="s">
        <v>12</v>
      </c>
      <c r="E19" s="322">
        <v>40897</v>
      </c>
      <c r="F19" s="377">
        <v>5309</v>
      </c>
      <c r="G19" s="181">
        <v>2833</v>
      </c>
      <c r="H19" s="181">
        <v>3213</v>
      </c>
      <c r="I19" s="373">
        <v>3254</v>
      </c>
      <c r="J19" s="213"/>
      <c r="K19" s="185">
        <f>BF19</f>
        <v>423</v>
      </c>
      <c r="L19" s="186">
        <f>AY19</f>
        <v>533</v>
      </c>
      <c r="M19" s="186">
        <f>BD19</f>
        <v>195</v>
      </c>
      <c r="N19" s="186">
        <f>AW19</f>
        <v>203</v>
      </c>
      <c r="O19" s="186">
        <f>BE19</f>
        <v>131</v>
      </c>
      <c r="P19" s="183">
        <f>'2009'!AZ19+'2009'!BA19</f>
        <v>825</v>
      </c>
      <c r="Q19" s="186">
        <f>'2009'!AU19</f>
        <v>225</v>
      </c>
      <c r="R19" s="183">
        <f>AT19+AX19</f>
        <v>1488</v>
      </c>
      <c r="S19" s="186">
        <f>AV19</f>
        <v>538</v>
      </c>
      <c r="T19" s="186">
        <f>BB19</f>
        <v>348</v>
      </c>
      <c r="U19" s="187">
        <f>BC19</f>
        <v>400</v>
      </c>
      <c r="V19" s="183">
        <f>BG19+BJ19</f>
        <v>628</v>
      </c>
      <c r="W19" s="186">
        <f>BR19</f>
        <v>102</v>
      </c>
      <c r="X19" s="183">
        <f>BH19+BI19</f>
        <v>431</v>
      </c>
      <c r="Y19" s="183">
        <f>BK19+BL19+BN19</f>
        <v>665</v>
      </c>
      <c r="Z19" s="186">
        <f>BM19</f>
        <v>576</v>
      </c>
      <c r="AA19" s="183">
        <f>BO19+BQ19</f>
        <v>294</v>
      </c>
      <c r="AB19" s="187">
        <f>BP19</f>
        <v>137</v>
      </c>
      <c r="AC19" s="186">
        <f>BX19</f>
        <v>146</v>
      </c>
      <c r="AD19" s="186">
        <f>BU19</f>
        <v>297</v>
      </c>
      <c r="AE19" s="183">
        <f>BS19+BT19</f>
        <v>643</v>
      </c>
      <c r="AF19" s="186">
        <f>CA19</f>
        <v>375</v>
      </c>
      <c r="AG19" s="186">
        <f>BV19</f>
        <v>710</v>
      </c>
      <c r="AH19" s="186">
        <f>BZ19</f>
        <v>630</v>
      </c>
      <c r="AI19" s="186">
        <f>BW19</f>
        <v>165</v>
      </c>
      <c r="AJ19" s="186">
        <f>BY19</f>
        <v>82</v>
      </c>
      <c r="AK19" s="187">
        <f>CB19</f>
        <v>165</v>
      </c>
      <c r="AL19" s="186">
        <f>CE19</f>
        <v>192</v>
      </c>
      <c r="AM19" s="186">
        <f>CH19</f>
        <v>406</v>
      </c>
      <c r="AN19" s="186">
        <f>CJ19</f>
        <v>694</v>
      </c>
      <c r="AO19" s="186">
        <f>CC19</f>
        <v>467</v>
      </c>
      <c r="AP19" s="186">
        <f>CD19</f>
        <v>144</v>
      </c>
      <c r="AQ19" s="186">
        <f>CK19</f>
        <v>388</v>
      </c>
      <c r="AR19" s="186">
        <f>CI19</f>
        <v>614</v>
      </c>
      <c r="AS19" s="184">
        <f>CF19+CG19</f>
        <v>349</v>
      </c>
      <c r="AT19" s="181">
        <v>348</v>
      </c>
      <c r="AU19" s="181">
        <v>225</v>
      </c>
      <c r="AV19" s="181">
        <v>538</v>
      </c>
      <c r="AW19" s="181">
        <v>203</v>
      </c>
      <c r="AX19" s="181">
        <v>1140</v>
      </c>
      <c r="AY19" s="181">
        <v>533</v>
      </c>
      <c r="AZ19" s="181">
        <v>182</v>
      </c>
      <c r="BA19" s="181">
        <v>643</v>
      </c>
      <c r="BB19" s="181">
        <v>348</v>
      </c>
      <c r="BC19" s="181">
        <v>400</v>
      </c>
      <c r="BD19" s="181">
        <v>195</v>
      </c>
      <c r="BE19" s="181">
        <v>131</v>
      </c>
      <c r="BF19" s="372">
        <v>423</v>
      </c>
      <c r="BG19" s="181">
        <v>128</v>
      </c>
      <c r="BH19" s="181">
        <v>343</v>
      </c>
      <c r="BI19" s="181">
        <v>88</v>
      </c>
      <c r="BJ19" s="181">
        <v>500</v>
      </c>
      <c r="BK19" s="181">
        <v>108</v>
      </c>
      <c r="BL19" s="181">
        <v>248</v>
      </c>
      <c r="BM19" s="181">
        <v>576</v>
      </c>
      <c r="BN19" s="181">
        <v>309</v>
      </c>
      <c r="BO19" s="181">
        <v>60</v>
      </c>
      <c r="BP19" s="181">
        <v>137</v>
      </c>
      <c r="BQ19" s="181">
        <v>234</v>
      </c>
      <c r="BR19" s="372">
        <v>102</v>
      </c>
      <c r="BS19" s="181">
        <v>77</v>
      </c>
      <c r="BT19" s="181">
        <v>566</v>
      </c>
      <c r="BU19" s="181">
        <v>297</v>
      </c>
      <c r="BV19" s="181">
        <v>710</v>
      </c>
      <c r="BW19" s="181">
        <v>165</v>
      </c>
      <c r="BX19" s="181">
        <v>146</v>
      </c>
      <c r="BY19" s="181">
        <v>82</v>
      </c>
      <c r="BZ19" s="181">
        <v>630</v>
      </c>
      <c r="CA19" s="181">
        <v>375</v>
      </c>
      <c r="CB19" s="372">
        <v>165</v>
      </c>
      <c r="CC19" s="181">
        <v>467</v>
      </c>
      <c r="CD19" s="181">
        <v>144</v>
      </c>
      <c r="CE19" s="181">
        <v>192</v>
      </c>
      <c r="CF19" s="181">
        <v>62</v>
      </c>
      <c r="CG19" s="181">
        <v>287</v>
      </c>
      <c r="CH19" s="181">
        <v>406</v>
      </c>
      <c r="CI19" s="181">
        <v>614</v>
      </c>
      <c r="CJ19" s="181">
        <v>694</v>
      </c>
      <c r="CK19" s="373">
        <v>388</v>
      </c>
      <c r="CL19" s="318">
        <v>14609</v>
      </c>
    </row>
    <row r="20" spans="1:90">
      <c r="A20" s="93">
        <f>ROWS($A$3:A18)</f>
        <v>16</v>
      </c>
      <c r="B20" s="106" t="s">
        <v>68</v>
      </c>
      <c r="C20" s="242">
        <v>2009</v>
      </c>
      <c r="D20" s="314" t="s">
        <v>3</v>
      </c>
      <c r="E20" s="316">
        <v>40875</v>
      </c>
      <c r="F20" s="210">
        <v>119.642</v>
      </c>
      <c r="G20" s="211">
        <v>80.956000000000003</v>
      </c>
      <c r="H20" s="211">
        <v>55.253999999999998</v>
      </c>
      <c r="I20" s="214">
        <v>48.87</v>
      </c>
      <c r="J20" s="213"/>
      <c r="K20" s="210">
        <f t="shared" si="0"/>
        <v>8.1790000000000003</v>
      </c>
      <c r="L20" s="211">
        <f t="shared" si="1"/>
        <v>9.5470000000000006</v>
      </c>
      <c r="M20" s="211">
        <f t="shared" si="2"/>
        <v>3.577</v>
      </c>
      <c r="N20" s="211">
        <f t="shared" si="3"/>
        <v>5.577</v>
      </c>
      <c r="O20" s="211">
        <f t="shared" si="4"/>
        <v>3.2160000000000002</v>
      </c>
      <c r="P20" s="211">
        <f>'2009'!AZ20+'2009'!BA20</f>
        <v>13.239000000000001</v>
      </c>
      <c r="Q20" s="211">
        <f>'2009'!AU20</f>
        <v>12.089</v>
      </c>
      <c r="R20" s="211">
        <f>AT20+AX20</f>
        <v>42.289000000000001</v>
      </c>
      <c r="S20" s="211">
        <f t="shared" si="6"/>
        <v>13.579000000000001</v>
      </c>
      <c r="T20" s="211">
        <f t="shared" si="7"/>
        <v>2.9460000000000002</v>
      </c>
      <c r="U20" s="212">
        <f t="shared" si="8"/>
        <v>5.4029999999999996</v>
      </c>
      <c r="V20" s="211">
        <f>BG20+BJ20</f>
        <v>8.07</v>
      </c>
      <c r="W20" s="211">
        <f t="shared" si="10"/>
        <v>3.1349999999999998</v>
      </c>
      <c r="X20" s="211">
        <f>BH20+BI20</f>
        <v>24.027999999999999</v>
      </c>
      <c r="Y20" s="211">
        <f>BK20+BL20+BN20</f>
        <v>32.101999999999997</v>
      </c>
      <c r="Z20" s="211">
        <f t="shared" si="13"/>
        <v>3.2050000000000001</v>
      </c>
      <c r="AA20" s="211">
        <f>BO20+BQ20</f>
        <v>7.3849999999999998</v>
      </c>
      <c r="AB20" s="212">
        <f t="shared" si="15"/>
        <v>3.0329999999999999</v>
      </c>
      <c r="AC20" s="211">
        <f t="shared" si="16"/>
        <v>5.4429999999999996</v>
      </c>
      <c r="AD20" s="211">
        <f t="shared" si="17"/>
        <v>3.0830000000000002</v>
      </c>
      <c r="AE20" s="211">
        <f>BS20+BT20</f>
        <v>12.149000000000001</v>
      </c>
      <c r="AF20" s="211">
        <f t="shared" si="19"/>
        <v>5.1779999999999999</v>
      </c>
      <c r="AG20" s="211">
        <f t="shared" si="20"/>
        <v>11.313000000000001</v>
      </c>
      <c r="AH20" s="211">
        <f t="shared" si="21"/>
        <v>6.9450000000000003</v>
      </c>
      <c r="AI20" s="211">
        <f t="shared" si="22"/>
        <v>3.629</v>
      </c>
      <c r="AJ20" s="211">
        <f t="shared" si="23"/>
        <v>3.7759999999999998</v>
      </c>
      <c r="AK20" s="212">
        <f t="shared" si="24"/>
        <v>3.7370000000000001</v>
      </c>
      <c r="AL20" s="211">
        <f t="shared" si="25"/>
        <v>4.5350000000000001</v>
      </c>
      <c r="AM20" s="211">
        <f t="shared" si="26"/>
        <v>5.6319999999999997</v>
      </c>
      <c r="AN20" s="211">
        <f t="shared" si="27"/>
        <v>7.3380000000000001</v>
      </c>
      <c r="AO20" s="211">
        <f t="shared" si="28"/>
        <v>7.234</v>
      </c>
      <c r="AP20" s="211">
        <f t="shared" si="29"/>
        <v>4.8689999999999998</v>
      </c>
      <c r="AQ20" s="211">
        <f t="shared" si="30"/>
        <v>3.2170000000000001</v>
      </c>
      <c r="AR20" s="211">
        <f t="shared" si="31"/>
        <v>6.0250000000000004</v>
      </c>
      <c r="AS20" s="214">
        <f>CF20+CG20</f>
        <v>10.02</v>
      </c>
      <c r="AT20" s="213">
        <v>28.690999999999999</v>
      </c>
      <c r="AU20" s="211">
        <v>12.089</v>
      </c>
      <c r="AV20" s="211">
        <v>13.579000000000001</v>
      </c>
      <c r="AW20" s="211">
        <v>5.577</v>
      </c>
      <c r="AX20" s="211">
        <v>13.598000000000001</v>
      </c>
      <c r="AY20" s="211">
        <v>9.5470000000000006</v>
      </c>
      <c r="AZ20" s="211">
        <v>4.55</v>
      </c>
      <c r="BA20" s="211">
        <v>8.6890000000000001</v>
      </c>
      <c r="BB20" s="211">
        <v>2.9460000000000002</v>
      </c>
      <c r="BC20" s="211">
        <v>5.4029999999999996</v>
      </c>
      <c r="BD20" s="211">
        <v>3.577</v>
      </c>
      <c r="BE20" s="211">
        <v>3.2160000000000002</v>
      </c>
      <c r="BF20" s="212">
        <v>8.1790000000000003</v>
      </c>
      <c r="BG20" s="211">
        <v>2.069</v>
      </c>
      <c r="BH20" s="211">
        <v>13.215999999999999</v>
      </c>
      <c r="BI20" s="211">
        <v>10.811999999999999</v>
      </c>
      <c r="BJ20" s="211">
        <v>6.0010000000000003</v>
      </c>
      <c r="BK20" s="211">
        <v>5.7130000000000001</v>
      </c>
      <c r="BL20" s="211">
        <v>13.994999999999999</v>
      </c>
      <c r="BM20" s="211">
        <v>3.2050000000000001</v>
      </c>
      <c r="BN20" s="211">
        <v>12.394</v>
      </c>
      <c r="BO20" s="211">
        <v>3.65</v>
      </c>
      <c r="BP20" s="211">
        <v>3.0329999999999999</v>
      </c>
      <c r="BQ20" s="211">
        <v>3.7349999999999999</v>
      </c>
      <c r="BR20" s="212">
        <v>3.1349999999999998</v>
      </c>
      <c r="BS20" s="211">
        <v>7.3529999999999998</v>
      </c>
      <c r="BT20" s="211">
        <v>4.7960000000000003</v>
      </c>
      <c r="BU20" s="211">
        <v>3.0830000000000002</v>
      </c>
      <c r="BV20" s="211">
        <v>11.313000000000001</v>
      </c>
      <c r="BW20" s="211">
        <v>3.629</v>
      </c>
      <c r="BX20" s="211">
        <v>5.4429999999999996</v>
      </c>
      <c r="BY20" s="211">
        <v>3.7759999999999998</v>
      </c>
      <c r="BZ20" s="211">
        <v>6.9450000000000003</v>
      </c>
      <c r="CA20" s="211">
        <v>5.1779999999999999</v>
      </c>
      <c r="CB20" s="212">
        <v>3.7370000000000001</v>
      </c>
      <c r="CC20" s="211">
        <v>7.234</v>
      </c>
      <c r="CD20" s="211">
        <v>4.8689999999999998</v>
      </c>
      <c r="CE20" s="211">
        <v>4.5350000000000001</v>
      </c>
      <c r="CF20" s="211">
        <v>5.8289999999999997</v>
      </c>
      <c r="CG20" s="213">
        <v>4.1909999999999998</v>
      </c>
      <c r="CH20" s="211">
        <v>5.6319999999999997</v>
      </c>
      <c r="CI20" s="211">
        <v>6.0250000000000004</v>
      </c>
      <c r="CJ20" s="211">
        <v>7.3380000000000001</v>
      </c>
      <c r="CK20" s="214">
        <v>3.2170000000000001</v>
      </c>
      <c r="CL20" s="215">
        <v>304.72300000000001</v>
      </c>
    </row>
    <row r="21" spans="1:90">
      <c r="A21" s="93">
        <f>ROWS($A$3:A19)</f>
        <v>17</v>
      </c>
      <c r="B21" s="60" t="s">
        <v>65</v>
      </c>
      <c r="C21" s="323"/>
      <c r="D21" s="332" t="s">
        <v>4</v>
      </c>
      <c r="E21" s="333"/>
      <c r="F21" s="207">
        <f>F119/F20%</f>
        <v>0.59009377977633271</v>
      </c>
      <c r="G21" s="208">
        <f>G119/G20%</f>
        <v>0.44962695785364887</v>
      </c>
      <c r="H21" s="208">
        <f>H119/H20%</f>
        <v>0.91758062764686721</v>
      </c>
      <c r="I21" s="209">
        <f>I119/I20%</f>
        <v>0.86556169429097607</v>
      </c>
      <c r="J21" s="213"/>
      <c r="K21" s="207">
        <f t="shared" ref="K21:AP21" si="34">K119/K20%</f>
        <v>0.90475608265069074</v>
      </c>
      <c r="L21" s="208">
        <f t="shared" si="34"/>
        <v>0.74368911700010465</v>
      </c>
      <c r="M21" s="208">
        <f t="shared" si="34"/>
        <v>1.481688565837294</v>
      </c>
      <c r="N21" s="208">
        <f t="shared" si="34"/>
        <v>0.55585440200824821</v>
      </c>
      <c r="O21" s="208">
        <f t="shared" si="34"/>
        <v>0.90174129353233834</v>
      </c>
      <c r="P21" s="208">
        <f t="shared" si="34"/>
        <v>0.71757685625802548</v>
      </c>
      <c r="Q21" s="208">
        <f t="shared" si="34"/>
        <v>0</v>
      </c>
      <c r="R21" s="208">
        <f t="shared" si="34"/>
        <v>0.29322045922107404</v>
      </c>
      <c r="S21" s="208">
        <f t="shared" si="34"/>
        <v>0.39030856469548569</v>
      </c>
      <c r="T21" s="208">
        <f t="shared" si="34"/>
        <v>1.9008825526137136</v>
      </c>
      <c r="U21" s="216">
        <f t="shared" si="34"/>
        <v>1.5546918378678514</v>
      </c>
      <c r="V21" s="208">
        <f t="shared" si="34"/>
        <v>0.70631970260223043</v>
      </c>
      <c r="W21" s="208">
        <f t="shared" si="34"/>
        <v>0.82934609250398728</v>
      </c>
      <c r="X21" s="208">
        <f t="shared" si="34"/>
        <v>0.28716497419677045</v>
      </c>
      <c r="Y21" s="208">
        <f t="shared" si="34"/>
        <v>0.31462214192262167</v>
      </c>
      <c r="Z21" s="208">
        <f t="shared" si="34"/>
        <v>1.2792511700468019</v>
      </c>
      <c r="AA21" s="208">
        <f t="shared" si="34"/>
        <v>0.50101557210561953</v>
      </c>
      <c r="AB21" s="216">
        <f t="shared" si="34"/>
        <v>1.0880316518298714</v>
      </c>
      <c r="AC21" s="208">
        <f t="shared" si="34"/>
        <v>0.66139996325555761</v>
      </c>
      <c r="AD21" s="208">
        <f t="shared" si="34"/>
        <v>1.3947453778786894</v>
      </c>
      <c r="AE21" s="208">
        <f t="shared" si="34"/>
        <v>0.88073092435591394</v>
      </c>
      <c r="AF21" s="208">
        <f t="shared" si="34"/>
        <v>0.84974893781382765</v>
      </c>
      <c r="AG21" s="208">
        <f t="shared" si="34"/>
        <v>1.0960841509767523</v>
      </c>
      <c r="AH21" s="208">
        <f t="shared" si="34"/>
        <v>1.0655147588192944</v>
      </c>
      <c r="AI21" s="208">
        <f t="shared" si="34"/>
        <v>0.82667401488013215</v>
      </c>
      <c r="AJ21" s="208">
        <f t="shared" si="34"/>
        <v>0.50317796610169496</v>
      </c>
      <c r="AK21" s="216">
        <f t="shared" si="34"/>
        <v>0.82954241370082948</v>
      </c>
      <c r="AL21" s="208">
        <f t="shared" si="34"/>
        <v>0.70562293274531418</v>
      </c>
      <c r="AM21" s="208">
        <f t="shared" si="34"/>
        <v>1.1718750000000002</v>
      </c>
      <c r="AN21" s="208">
        <f t="shared" si="34"/>
        <v>1.2401199236849276</v>
      </c>
      <c r="AO21" s="208">
        <f t="shared" si="34"/>
        <v>0.63588609344760849</v>
      </c>
      <c r="AP21" s="208">
        <f t="shared" si="34"/>
        <v>0.39022386527007602</v>
      </c>
      <c r="AQ21" s="208">
        <f t="shared" ref="AQ21:BV21" si="35">AQ119/AQ20%</f>
        <v>1.3988187752564498</v>
      </c>
      <c r="AR21" s="208">
        <f t="shared" si="35"/>
        <v>1.0622406639004149</v>
      </c>
      <c r="AS21" s="209">
        <f t="shared" si="35"/>
        <v>0.5988023952095809</v>
      </c>
      <c r="AT21" s="208">
        <f t="shared" si="35"/>
        <v>0.15335819594994946</v>
      </c>
      <c r="AU21" s="208">
        <f t="shared" si="35"/>
        <v>0.29779138059392835</v>
      </c>
      <c r="AV21" s="208">
        <f t="shared" si="35"/>
        <v>0.39030856469548569</v>
      </c>
      <c r="AW21" s="208">
        <f t="shared" si="35"/>
        <v>0.55585440200824821</v>
      </c>
      <c r="AX21" s="208">
        <f t="shared" si="35"/>
        <v>0.58832181203118095</v>
      </c>
      <c r="AY21" s="208">
        <f t="shared" si="35"/>
        <v>0.74368911700010465</v>
      </c>
      <c r="AZ21" s="208">
        <f t="shared" si="35"/>
        <v>0.30769230769230771</v>
      </c>
      <c r="BA21" s="208">
        <f t="shared" si="35"/>
        <v>0.9322131430544367</v>
      </c>
      <c r="BB21" s="208">
        <f t="shared" si="35"/>
        <v>1.9008825526137136</v>
      </c>
      <c r="BC21" s="208">
        <f t="shared" si="35"/>
        <v>1.5546918378678514</v>
      </c>
      <c r="BD21" s="208">
        <f t="shared" si="35"/>
        <v>1.481688565837294</v>
      </c>
      <c r="BE21" s="208">
        <f t="shared" si="35"/>
        <v>0.90174129353233834</v>
      </c>
      <c r="BF21" s="216">
        <f t="shared" si="35"/>
        <v>0.90475608265069074</v>
      </c>
      <c r="BG21" s="208">
        <f t="shared" si="35"/>
        <v>0.77332044465925565</v>
      </c>
      <c r="BH21" s="208">
        <f t="shared" si="35"/>
        <v>0.10593220338983052</v>
      </c>
      <c r="BI21" s="208">
        <f t="shared" si="35"/>
        <v>0.50869404365519799</v>
      </c>
      <c r="BJ21" s="208">
        <f t="shared" si="35"/>
        <v>0.68321946342276285</v>
      </c>
      <c r="BK21" s="208">
        <f t="shared" si="35"/>
        <v>0.26255907579205318</v>
      </c>
      <c r="BL21" s="208">
        <f t="shared" si="35"/>
        <v>0.12147195426938194</v>
      </c>
      <c r="BM21" s="208">
        <f t="shared" si="35"/>
        <v>1.2792511700468019</v>
      </c>
      <c r="BN21" s="208">
        <f t="shared" si="35"/>
        <v>0.55672099402936914</v>
      </c>
      <c r="BO21" s="208">
        <f t="shared" si="35"/>
        <v>0.35616438356164382</v>
      </c>
      <c r="BP21" s="208">
        <f t="shared" si="35"/>
        <v>1.0880316518298714</v>
      </c>
      <c r="BQ21" s="208">
        <f t="shared" si="35"/>
        <v>0.64257028112449799</v>
      </c>
      <c r="BR21" s="216">
        <f t="shared" si="35"/>
        <v>0.82934609250398728</v>
      </c>
      <c r="BS21" s="208">
        <f t="shared" si="35"/>
        <v>0.21759825921392631</v>
      </c>
      <c r="BT21" s="208">
        <f t="shared" si="35"/>
        <v>1.8974145120934109</v>
      </c>
      <c r="BU21" s="208">
        <f t="shared" si="35"/>
        <v>1.3947453778786894</v>
      </c>
      <c r="BV21" s="208">
        <f t="shared" si="35"/>
        <v>1.0960841509767523</v>
      </c>
      <c r="BW21" s="208">
        <f t="shared" ref="BW21:CL21" si="36">BW119/BW20%</f>
        <v>0.82667401488013215</v>
      </c>
      <c r="BX21" s="208">
        <f t="shared" si="36"/>
        <v>0.66139996325555761</v>
      </c>
      <c r="BY21" s="208">
        <f t="shared" si="36"/>
        <v>0.50317796610169496</v>
      </c>
      <c r="BZ21" s="208">
        <f t="shared" si="36"/>
        <v>1.0655147588192944</v>
      </c>
      <c r="CA21" s="208">
        <f t="shared" si="36"/>
        <v>0.84974893781382765</v>
      </c>
      <c r="CB21" s="216">
        <f t="shared" si="36"/>
        <v>0.82954241370082948</v>
      </c>
      <c r="CC21" s="208">
        <f t="shared" si="36"/>
        <v>0.63588609344760849</v>
      </c>
      <c r="CD21" s="208">
        <f t="shared" si="36"/>
        <v>0.39022386527007602</v>
      </c>
      <c r="CE21" s="208">
        <f t="shared" si="36"/>
        <v>0.70562293274531418</v>
      </c>
      <c r="CF21" s="208">
        <f t="shared" si="36"/>
        <v>0.17155601303825702</v>
      </c>
      <c r="CG21" s="208">
        <f t="shared" si="36"/>
        <v>1.1930326890956815</v>
      </c>
      <c r="CH21" s="208">
        <f t="shared" si="36"/>
        <v>1.1718750000000002</v>
      </c>
      <c r="CI21" s="208">
        <f t="shared" si="36"/>
        <v>1.0622406639004149</v>
      </c>
      <c r="CJ21" s="208">
        <f t="shared" si="36"/>
        <v>1.2401199236849276</v>
      </c>
      <c r="CK21" s="209">
        <f t="shared" si="36"/>
        <v>1.3988187752564498</v>
      </c>
      <c r="CL21" s="217">
        <f t="shared" si="36"/>
        <v>0.65666195200231015</v>
      </c>
    </row>
    <row r="22" spans="1:90">
      <c r="A22" s="93">
        <f>ROWS($A$3:A20)</f>
        <v>18</v>
      </c>
      <c r="B22" s="67" t="s">
        <v>70</v>
      </c>
      <c r="C22" s="241"/>
      <c r="D22" s="332"/>
      <c r="E22" s="333"/>
      <c r="F22" s="156"/>
      <c r="G22" s="177"/>
      <c r="H22" s="177"/>
      <c r="I22" s="178"/>
      <c r="J22" s="181"/>
      <c r="K22" s="156"/>
      <c r="L22" s="177"/>
      <c r="M22" s="177"/>
      <c r="N22" s="177"/>
      <c r="O22" s="177"/>
      <c r="P22" s="177"/>
      <c r="Q22" s="177">
        <f>'2009'!AU22</f>
        <v>0</v>
      </c>
      <c r="R22" s="177"/>
      <c r="S22" s="177"/>
      <c r="T22" s="177"/>
      <c r="U22" s="179"/>
      <c r="V22" s="177"/>
      <c r="W22" s="177"/>
      <c r="X22" s="177"/>
      <c r="Y22" s="177"/>
      <c r="Z22" s="177"/>
      <c r="AA22" s="177"/>
      <c r="AB22" s="179"/>
      <c r="AC22" s="177"/>
      <c r="AD22" s="177"/>
      <c r="AE22" s="177"/>
      <c r="AF22" s="177"/>
      <c r="AG22" s="177"/>
      <c r="AH22" s="177"/>
      <c r="AI22" s="177"/>
      <c r="AJ22" s="177"/>
      <c r="AK22" s="179"/>
      <c r="AL22" s="177"/>
      <c r="AM22" s="177"/>
      <c r="AN22" s="177"/>
      <c r="AO22" s="177"/>
      <c r="AP22" s="177"/>
      <c r="AQ22" s="177"/>
      <c r="AR22" s="177"/>
      <c r="AS22" s="178"/>
      <c r="AT22" s="177"/>
      <c r="AU22" s="177"/>
      <c r="AV22" s="177"/>
      <c r="AW22" s="177"/>
      <c r="AX22" s="177"/>
      <c r="AY22" s="177"/>
      <c r="AZ22" s="177"/>
      <c r="BA22" s="177"/>
      <c r="BB22" s="177"/>
      <c r="BC22" s="177"/>
      <c r="BD22" s="177"/>
      <c r="BE22" s="177"/>
      <c r="BF22" s="179"/>
      <c r="BG22" s="177"/>
      <c r="BH22" s="177"/>
      <c r="BI22" s="177"/>
      <c r="BJ22" s="177"/>
      <c r="BK22" s="177"/>
      <c r="BL22" s="177"/>
      <c r="BM22" s="177"/>
      <c r="BN22" s="177"/>
      <c r="BO22" s="177"/>
      <c r="BP22" s="177"/>
      <c r="BQ22" s="177"/>
      <c r="BR22" s="179"/>
      <c r="BS22" s="177"/>
      <c r="BT22" s="177"/>
      <c r="BU22" s="177"/>
      <c r="BV22" s="177"/>
      <c r="BW22" s="177"/>
      <c r="BX22" s="177"/>
      <c r="BY22" s="177"/>
      <c r="BZ22" s="177"/>
      <c r="CA22" s="177"/>
      <c r="CB22" s="179"/>
      <c r="CC22" s="177"/>
      <c r="CD22" s="177"/>
      <c r="CE22" s="177"/>
      <c r="CF22" s="177"/>
      <c r="CG22" s="177"/>
      <c r="CH22" s="177"/>
      <c r="CI22" s="177"/>
      <c r="CJ22" s="177"/>
      <c r="CK22" s="178"/>
      <c r="CL22" s="180"/>
    </row>
    <row r="23" spans="1:90">
      <c r="A23" s="93">
        <f>ROWS($A$3:A21)</f>
        <v>19</v>
      </c>
      <c r="B23" s="59" t="s">
        <v>272</v>
      </c>
      <c r="C23" s="244">
        <v>2007</v>
      </c>
      <c r="D23" s="332" t="s">
        <v>14</v>
      </c>
      <c r="E23" s="333"/>
      <c r="F23" s="156">
        <v>18213</v>
      </c>
      <c r="G23" s="177">
        <v>6647</v>
      </c>
      <c r="H23" s="177">
        <v>18128</v>
      </c>
      <c r="I23" s="178">
        <v>14061</v>
      </c>
      <c r="J23" s="181"/>
      <c r="K23" s="156">
        <f t="shared" ref="K23:K33" si="37">BF23</f>
        <v>2292</v>
      </c>
      <c r="L23" s="177">
        <f t="shared" ref="L23:L33" si="38">AY23</f>
        <v>1708</v>
      </c>
      <c r="M23" s="177">
        <f t="shared" ref="M23:M33" si="39">BD23</f>
        <v>1904</v>
      </c>
      <c r="N23" s="177">
        <f t="shared" ref="N23:N33" si="40">AW23</f>
        <v>933</v>
      </c>
      <c r="O23" s="177">
        <f t="shared" ref="O23:O33" si="41">BE23</f>
        <v>663</v>
      </c>
      <c r="P23" s="177">
        <f>'2009'!AZ23+'2009'!BA23</f>
        <v>2947</v>
      </c>
      <c r="Q23" s="177">
        <f>'2009'!AU23</f>
        <v>783</v>
      </c>
      <c r="R23" s="177">
        <f t="shared" ref="R23:R29" si="42">AT23+AX23</f>
        <v>2063</v>
      </c>
      <c r="S23" s="177">
        <f t="shared" ref="S23:S33" si="43">AV23</f>
        <v>851</v>
      </c>
      <c r="T23" s="177">
        <f t="shared" ref="T23:T33" si="44">BB23</f>
        <v>1584</v>
      </c>
      <c r="U23" s="179">
        <f t="shared" ref="U23:U33" si="45">BC23</f>
        <v>2485</v>
      </c>
      <c r="V23" s="177">
        <f t="shared" ref="V23:V29" si="46">BG23+BJ23</f>
        <v>1004</v>
      </c>
      <c r="W23" s="177">
        <f t="shared" ref="W23:W33" si="47">BR23</f>
        <v>746</v>
      </c>
      <c r="X23" s="177">
        <f t="shared" ref="X23:X29" si="48">BH23+BI23</f>
        <v>1093</v>
      </c>
      <c r="Y23" s="177">
        <f t="shared" ref="Y23:Y29" si="49">BK23+BL23+BN23</f>
        <v>1372</v>
      </c>
      <c r="Z23" s="177">
        <f t="shared" ref="Z23:Z33" si="50">BM23</f>
        <v>1151</v>
      </c>
      <c r="AA23" s="177">
        <f t="shared" ref="AA23:AA29" si="51">BO23+BQ23</f>
        <v>593</v>
      </c>
      <c r="AB23" s="179">
        <f t="shared" ref="AB23:AB33" si="52">BP23</f>
        <v>688</v>
      </c>
      <c r="AC23" s="177">
        <f t="shared" ref="AC23:AC33" si="53">BX23</f>
        <v>1325</v>
      </c>
      <c r="AD23" s="177">
        <f t="shared" ref="AD23:AD33" si="54">BU23</f>
        <v>1995</v>
      </c>
      <c r="AE23" s="177">
        <f t="shared" ref="AE23:AE29" si="55">BS23+BT23</f>
        <v>4082</v>
      </c>
      <c r="AF23" s="177">
        <f t="shared" ref="AF23:AF33" si="56">CA23</f>
        <v>1371</v>
      </c>
      <c r="AG23" s="177">
        <f t="shared" ref="AG23:AG33" si="57">BV23</f>
        <v>4968</v>
      </c>
      <c r="AH23" s="177">
        <f t="shared" ref="AH23:AH33" si="58">BZ23</f>
        <v>1123</v>
      </c>
      <c r="AI23" s="177">
        <f t="shared" ref="AI23:AI33" si="59">BW23</f>
        <v>1066</v>
      </c>
      <c r="AJ23" s="177">
        <f t="shared" ref="AJ23:AJ33" si="60">BY23</f>
        <v>567</v>
      </c>
      <c r="AK23" s="179">
        <f t="shared" ref="AK23:AK33" si="61">CB23</f>
        <v>1631</v>
      </c>
      <c r="AL23" s="177">
        <f t="shared" ref="AL23:AL33" si="62">CE23</f>
        <v>924</v>
      </c>
      <c r="AM23" s="177">
        <f t="shared" ref="AM23:AM33" si="63">CH23</f>
        <v>2207</v>
      </c>
      <c r="AN23" s="177">
        <f t="shared" ref="AN23:AN33" si="64">CJ23</f>
        <v>3110</v>
      </c>
      <c r="AO23" s="177">
        <f t="shared" ref="AO23:AO33" si="65">CC23</f>
        <v>1336</v>
      </c>
      <c r="AP23" s="177">
        <f t="shared" ref="AP23:AP33" si="66">CD23</f>
        <v>546</v>
      </c>
      <c r="AQ23" s="177">
        <f t="shared" ref="AQ23:AQ33" si="67">CK23</f>
        <v>1583</v>
      </c>
      <c r="AR23" s="177">
        <f t="shared" ref="AR23:AR33" si="68">CI23</f>
        <v>1996</v>
      </c>
      <c r="AS23" s="178">
        <f t="shared" ref="AS23:AS29" si="69">CF23+CG23</f>
        <v>2359</v>
      </c>
      <c r="AT23" s="177">
        <v>257</v>
      </c>
      <c r="AU23" s="177">
        <v>783</v>
      </c>
      <c r="AV23" s="177">
        <v>851</v>
      </c>
      <c r="AW23" s="181">
        <v>933</v>
      </c>
      <c r="AX23" s="177">
        <v>1806</v>
      </c>
      <c r="AY23" s="177">
        <v>1708</v>
      </c>
      <c r="AZ23" s="177">
        <v>216</v>
      </c>
      <c r="BA23" s="177">
        <v>2731</v>
      </c>
      <c r="BB23" s="177">
        <v>1584</v>
      </c>
      <c r="BC23" s="177">
        <v>2485</v>
      </c>
      <c r="BD23" s="177">
        <v>1904</v>
      </c>
      <c r="BE23" s="177">
        <v>663</v>
      </c>
      <c r="BF23" s="179">
        <v>2292</v>
      </c>
      <c r="BG23" s="177">
        <v>181</v>
      </c>
      <c r="BH23" s="177">
        <v>88</v>
      </c>
      <c r="BI23" s="177">
        <v>1005</v>
      </c>
      <c r="BJ23" s="177">
        <v>823</v>
      </c>
      <c r="BK23" s="177">
        <v>104</v>
      </c>
      <c r="BL23" s="177">
        <v>80</v>
      </c>
      <c r="BM23" s="177">
        <v>1151</v>
      </c>
      <c r="BN23" s="177">
        <v>1188</v>
      </c>
      <c r="BO23" s="177">
        <v>37</v>
      </c>
      <c r="BP23" s="177">
        <v>688</v>
      </c>
      <c r="BQ23" s="177">
        <v>556</v>
      </c>
      <c r="BR23" s="179">
        <v>746</v>
      </c>
      <c r="BS23" s="177">
        <v>271</v>
      </c>
      <c r="BT23" s="177">
        <v>3811</v>
      </c>
      <c r="BU23" s="177">
        <v>1995</v>
      </c>
      <c r="BV23" s="177">
        <v>4968</v>
      </c>
      <c r="BW23" s="177">
        <v>1066</v>
      </c>
      <c r="BX23" s="177">
        <v>1325</v>
      </c>
      <c r="BY23" s="177">
        <v>567</v>
      </c>
      <c r="BZ23" s="177">
        <v>1123</v>
      </c>
      <c r="CA23" s="177">
        <v>1371</v>
      </c>
      <c r="CB23" s="179">
        <v>1631</v>
      </c>
      <c r="CC23" s="177">
        <v>1336</v>
      </c>
      <c r="CD23" s="177">
        <v>546</v>
      </c>
      <c r="CE23" s="177">
        <v>924</v>
      </c>
      <c r="CF23" s="177">
        <v>146</v>
      </c>
      <c r="CG23" s="177">
        <v>2213</v>
      </c>
      <c r="CH23" s="177">
        <v>2207</v>
      </c>
      <c r="CI23" s="177">
        <v>1996</v>
      </c>
      <c r="CJ23" s="177">
        <v>3110</v>
      </c>
      <c r="CK23" s="178">
        <v>1583</v>
      </c>
      <c r="CL23" s="180">
        <v>57049</v>
      </c>
    </row>
    <row r="24" spans="1:90">
      <c r="A24" s="93">
        <f>ROWS($A$3:A22)</f>
        <v>20</v>
      </c>
      <c r="B24" s="59" t="s">
        <v>268</v>
      </c>
      <c r="C24" s="241"/>
      <c r="D24" s="332" t="s">
        <v>14</v>
      </c>
      <c r="E24" s="333"/>
      <c r="F24" s="156">
        <f>3245+2664</f>
        <v>5909</v>
      </c>
      <c r="G24" s="177">
        <f>1077+1228</f>
        <v>2305</v>
      </c>
      <c r="H24" s="177">
        <f>3971+3685</f>
        <v>7656</v>
      </c>
      <c r="I24" s="178">
        <f>658+2103</f>
        <v>2761</v>
      </c>
      <c r="J24" s="181"/>
      <c r="K24" s="156">
        <f t="shared" si="37"/>
        <v>415</v>
      </c>
      <c r="L24" s="177">
        <f t="shared" si="38"/>
        <v>820</v>
      </c>
      <c r="M24" s="177">
        <f t="shared" si="39"/>
        <v>421</v>
      </c>
      <c r="N24" s="177">
        <f t="shared" si="40"/>
        <v>206</v>
      </c>
      <c r="O24" s="177">
        <f t="shared" si="41"/>
        <v>77</v>
      </c>
      <c r="P24" s="177">
        <f>'2009'!AZ24+'2009'!BA24</f>
        <v>1453</v>
      </c>
      <c r="Q24" s="177">
        <f>'2009'!AU24</f>
        <v>199</v>
      </c>
      <c r="R24" s="177">
        <f t="shared" si="42"/>
        <v>1090</v>
      </c>
      <c r="S24" s="177">
        <f t="shared" si="43"/>
        <v>300</v>
      </c>
      <c r="T24" s="177">
        <f t="shared" si="44"/>
        <v>528</v>
      </c>
      <c r="U24" s="179">
        <f t="shared" si="45"/>
        <v>400</v>
      </c>
      <c r="V24" s="177">
        <f t="shared" si="46"/>
        <v>631</v>
      </c>
      <c r="W24" s="177">
        <f t="shared" si="47"/>
        <v>221</v>
      </c>
      <c r="X24" s="177">
        <f t="shared" si="48"/>
        <v>394</v>
      </c>
      <c r="Y24" s="177">
        <f t="shared" si="49"/>
        <v>423</v>
      </c>
      <c r="Z24" s="177">
        <f t="shared" si="50"/>
        <v>224</v>
      </c>
      <c r="AA24" s="177">
        <f t="shared" si="51"/>
        <v>191</v>
      </c>
      <c r="AB24" s="179">
        <f t="shared" si="52"/>
        <v>221</v>
      </c>
      <c r="AC24" s="177">
        <f t="shared" si="53"/>
        <v>268</v>
      </c>
      <c r="AD24" s="177">
        <f t="shared" si="54"/>
        <v>1067</v>
      </c>
      <c r="AE24" s="177">
        <f t="shared" si="55"/>
        <v>2187</v>
      </c>
      <c r="AF24" s="177">
        <f t="shared" si="56"/>
        <v>468</v>
      </c>
      <c r="AG24" s="177">
        <f t="shared" si="57"/>
        <v>2596</v>
      </c>
      <c r="AH24" s="177">
        <f t="shared" si="58"/>
        <v>361</v>
      </c>
      <c r="AI24" s="177">
        <f t="shared" si="59"/>
        <v>252</v>
      </c>
      <c r="AJ24" s="177">
        <f t="shared" si="60"/>
        <v>87</v>
      </c>
      <c r="AK24" s="179">
        <f t="shared" si="61"/>
        <v>370</v>
      </c>
      <c r="AL24" s="177">
        <f t="shared" si="62"/>
        <v>166</v>
      </c>
      <c r="AM24" s="177">
        <f t="shared" si="63"/>
        <v>318</v>
      </c>
      <c r="AN24" s="177">
        <f t="shared" si="64"/>
        <v>541</v>
      </c>
      <c r="AO24" s="177">
        <f t="shared" si="65"/>
        <v>284</v>
      </c>
      <c r="AP24" s="177">
        <f t="shared" si="66"/>
        <v>144</v>
      </c>
      <c r="AQ24" s="177">
        <f t="shared" si="67"/>
        <v>277</v>
      </c>
      <c r="AR24" s="177">
        <f t="shared" si="68"/>
        <v>723</v>
      </c>
      <c r="AS24" s="178">
        <f t="shared" si="69"/>
        <v>308</v>
      </c>
      <c r="AT24" s="177">
        <f>116+46</f>
        <v>162</v>
      </c>
      <c r="AU24" s="177">
        <f>73+126</f>
        <v>199</v>
      </c>
      <c r="AV24" s="177">
        <f>123+177</f>
        <v>300</v>
      </c>
      <c r="AW24" s="181">
        <f>67+139</f>
        <v>206</v>
      </c>
      <c r="AX24" s="177">
        <f>730+198</f>
        <v>928</v>
      </c>
      <c r="AY24" s="177">
        <f>437+383</f>
        <v>820</v>
      </c>
      <c r="AZ24" s="177">
        <f>41+40</f>
        <v>81</v>
      </c>
      <c r="BA24" s="177">
        <f>1038+334</f>
        <v>1372</v>
      </c>
      <c r="BB24" s="177">
        <f>263+265</f>
        <v>528</v>
      </c>
      <c r="BC24" s="177">
        <f>40+360</f>
        <v>400</v>
      </c>
      <c r="BD24" s="177">
        <f>237+184</f>
        <v>421</v>
      </c>
      <c r="BE24" s="177">
        <f>19+58</f>
        <v>77</v>
      </c>
      <c r="BF24" s="179">
        <f>61+354</f>
        <v>415</v>
      </c>
      <c r="BG24" s="177">
        <f>110+32</f>
        <v>142</v>
      </c>
      <c r="BH24" s="177">
        <v>33</v>
      </c>
      <c r="BI24" s="177">
        <f>205+156</f>
        <v>361</v>
      </c>
      <c r="BJ24" s="177">
        <f>343+146</f>
        <v>489</v>
      </c>
      <c r="BK24" s="177">
        <v>41</v>
      </c>
      <c r="BL24" s="177">
        <v>24</v>
      </c>
      <c r="BM24" s="177">
        <f>36+188</f>
        <v>224</v>
      </c>
      <c r="BN24" s="177">
        <f>183+175</f>
        <v>358</v>
      </c>
      <c r="BO24" s="177">
        <v>20</v>
      </c>
      <c r="BP24" s="177">
        <f>23+198</f>
        <v>221</v>
      </c>
      <c r="BQ24" s="177">
        <f>79+92</f>
        <v>171</v>
      </c>
      <c r="BR24" s="179">
        <f>19+202</f>
        <v>221</v>
      </c>
      <c r="BS24" s="177">
        <f>133+38</f>
        <v>171</v>
      </c>
      <c r="BT24" s="177">
        <f>1405+611</f>
        <v>2016</v>
      </c>
      <c r="BU24" s="177">
        <f>713+354</f>
        <v>1067</v>
      </c>
      <c r="BV24" s="177">
        <f>1247+1349</f>
        <v>2596</v>
      </c>
      <c r="BW24" s="177">
        <f>17+235</f>
        <v>252</v>
      </c>
      <c r="BX24" s="177">
        <f>20+248</f>
        <v>268</v>
      </c>
      <c r="BY24" s="177">
        <f>6+81</f>
        <v>87</v>
      </c>
      <c r="BZ24" s="177">
        <f>181+180</f>
        <v>361</v>
      </c>
      <c r="CA24" s="177">
        <f>200+268</f>
        <v>468</v>
      </c>
      <c r="CB24" s="179">
        <f>49+321</f>
        <v>370</v>
      </c>
      <c r="CC24" s="177">
        <f>55+229</f>
        <v>284</v>
      </c>
      <c r="CD24" s="177">
        <f>39+105</f>
        <v>144</v>
      </c>
      <c r="CE24" s="177">
        <f>17+149</f>
        <v>166</v>
      </c>
      <c r="CF24" s="177">
        <v>35</v>
      </c>
      <c r="CG24" s="177">
        <f>50+223</f>
        <v>273</v>
      </c>
      <c r="CH24" s="177">
        <f>49+269</f>
        <v>318</v>
      </c>
      <c r="CI24" s="177">
        <f>318+405</f>
        <v>723</v>
      </c>
      <c r="CJ24" s="177">
        <f>85+456</f>
        <v>541</v>
      </c>
      <c r="CK24" s="178">
        <f>31+246</f>
        <v>277</v>
      </c>
      <c r="CL24" s="180">
        <f>8951+9680</f>
        <v>18631</v>
      </c>
    </row>
    <row r="25" spans="1:90">
      <c r="A25" s="93">
        <f>ROWS($A$3:A23)</f>
        <v>21</v>
      </c>
      <c r="B25" s="59" t="s">
        <v>269</v>
      </c>
      <c r="C25" s="241"/>
      <c r="D25" s="332" t="s">
        <v>14</v>
      </c>
      <c r="E25" s="333"/>
      <c r="F25" s="156">
        <v>2380</v>
      </c>
      <c r="G25" s="177">
        <v>924</v>
      </c>
      <c r="H25" s="177">
        <v>3174</v>
      </c>
      <c r="I25" s="178">
        <v>1978</v>
      </c>
      <c r="J25" s="181"/>
      <c r="K25" s="156">
        <f t="shared" si="37"/>
        <v>377</v>
      </c>
      <c r="L25" s="177">
        <f t="shared" si="38"/>
        <v>262</v>
      </c>
      <c r="M25" s="177">
        <f t="shared" si="39"/>
        <v>219</v>
      </c>
      <c r="N25" s="177">
        <f t="shared" si="40"/>
        <v>126</v>
      </c>
      <c r="O25" s="177">
        <f t="shared" si="41"/>
        <v>79</v>
      </c>
      <c r="P25" s="177">
        <f>'2009'!AZ25+'2009'!BA25</f>
        <v>352</v>
      </c>
      <c r="Q25" s="177">
        <f>'2009'!AU25</f>
        <v>113</v>
      </c>
      <c r="R25" s="177">
        <f t="shared" si="42"/>
        <v>179</v>
      </c>
      <c r="S25" s="177">
        <f t="shared" si="43"/>
        <v>135</v>
      </c>
      <c r="T25" s="177">
        <f t="shared" si="44"/>
        <v>213</v>
      </c>
      <c r="U25" s="179">
        <f t="shared" si="45"/>
        <v>325</v>
      </c>
      <c r="V25" s="177">
        <f t="shared" si="46"/>
        <v>117</v>
      </c>
      <c r="W25" s="177">
        <f t="shared" si="47"/>
        <v>154</v>
      </c>
      <c r="X25" s="177">
        <f t="shared" si="48"/>
        <v>139</v>
      </c>
      <c r="Y25" s="177">
        <f t="shared" si="49"/>
        <v>144</v>
      </c>
      <c r="Z25" s="177">
        <f t="shared" si="50"/>
        <v>157</v>
      </c>
      <c r="AA25" s="177">
        <f t="shared" si="51"/>
        <v>72</v>
      </c>
      <c r="AB25" s="179">
        <f t="shared" si="52"/>
        <v>141</v>
      </c>
      <c r="AC25" s="177">
        <f t="shared" si="53"/>
        <v>222</v>
      </c>
      <c r="AD25" s="177">
        <f t="shared" si="54"/>
        <v>305</v>
      </c>
      <c r="AE25" s="177">
        <f t="shared" si="55"/>
        <v>551</v>
      </c>
      <c r="AF25" s="177">
        <f t="shared" si="56"/>
        <v>250</v>
      </c>
      <c r="AG25" s="177">
        <f t="shared" si="57"/>
        <v>1001</v>
      </c>
      <c r="AH25" s="177">
        <f t="shared" si="58"/>
        <v>139</v>
      </c>
      <c r="AI25" s="177">
        <f t="shared" si="59"/>
        <v>229</v>
      </c>
      <c r="AJ25" s="177">
        <f t="shared" si="60"/>
        <v>106</v>
      </c>
      <c r="AK25" s="179">
        <f t="shared" si="61"/>
        <v>371</v>
      </c>
      <c r="AL25" s="177">
        <f t="shared" si="62"/>
        <v>173</v>
      </c>
      <c r="AM25" s="177">
        <f t="shared" si="63"/>
        <v>261</v>
      </c>
      <c r="AN25" s="177">
        <f t="shared" si="64"/>
        <v>339</v>
      </c>
      <c r="AO25" s="177">
        <f t="shared" si="65"/>
        <v>223</v>
      </c>
      <c r="AP25" s="177">
        <f t="shared" si="66"/>
        <v>98</v>
      </c>
      <c r="AQ25" s="177">
        <f t="shared" si="67"/>
        <v>254</v>
      </c>
      <c r="AR25" s="177">
        <f t="shared" si="68"/>
        <v>345</v>
      </c>
      <c r="AS25" s="178">
        <f t="shared" si="69"/>
        <v>285</v>
      </c>
      <c r="AT25" s="177">
        <v>37</v>
      </c>
      <c r="AU25" s="177">
        <v>113</v>
      </c>
      <c r="AV25" s="177">
        <v>135</v>
      </c>
      <c r="AW25" s="181">
        <v>126</v>
      </c>
      <c r="AX25" s="177">
        <v>142</v>
      </c>
      <c r="AY25" s="177">
        <v>262</v>
      </c>
      <c r="AZ25" s="177">
        <v>42</v>
      </c>
      <c r="BA25" s="177">
        <v>310</v>
      </c>
      <c r="BB25" s="177">
        <v>213</v>
      </c>
      <c r="BC25" s="177">
        <v>325</v>
      </c>
      <c r="BD25" s="177">
        <v>219</v>
      </c>
      <c r="BE25" s="177">
        <v>79</v>
      </c>
      <c r="BF25" s="179">
        <v>377</v>
      </c>
      <c r="BG25" s="177">
        <v>16</v>
      </c>
      <c r="BH25" s="177">
        <v>13</v>
      </c>
      <c r="BI25" s="177">
        <v>126</v>
      </c>
      <c r="BJ25" s="177">
        <v>101</v>
      </c>
      <c r="BK25" s="177">
        <v>12</v>
      </c>
      <c r="BL25" s="177">
        <v>6</v>
      </c>
      <c r="BM25" s="177">
        <v>157</v>
      </c>
      <c r="BN25" s="177">
        <v>126</v>
      </c>
      <c r="BO25" s="177">
        <v>3</v>
      </c>
      <c r="BP25" s="177">
        <v>141</v>
      </c>
      <c r="BQ25" s="177">
        <v>69</v>
      </c>
      <c r="BR25" s="179">
        <v>154</v>
      </c>
      <c r="BS25" s="177">
        <v>28</v>
      </c>
      <c r="BT25" s="177">
        <v>523</v>
      </c>
      <c r="BU25" s="177">
        <v>305</v>
      </c>
      <c r="BV25" s="177">
        <v>1001</v>
      </c>
      <c r="BW25" s="177">
        <v>229</v>
      </c>
      <c r="BX25" s="177">
        <v>222</v>
      </c>
      <c r="BY25" s="177">
        <v>106</v>
      </c>
      <c r="BZ25" s="177">
        <v>139</v>
      </c>
      <c r="CA25" s="177">
        <v>250</v>
      </c>
      <c r="CB25" s="179">
        <f>371</f>
        <v>371</v>
      </c>
      <c r="CC25" s="177">
        <v>223</v>
      </c>
      <c r="CD25" s="177">
        <v>98</v>
      </c>
      <c r="CE25" s="177">
        <v>173</v>
      </c>
      <c r="CF25" s="177">
        <v>11</v>
      </c>
      <c r="CG25" s="177">
        <v>274</v>
      </c>
      <c r="CH25" s="177">
        <v>261</v>
      </c>
      <c r="CI25" s="177">
        <v>345</v>
      </c>
      <c r="CJ25" s="177">
        <v>339</v>
      </c>
      <c r="CK25" s="178">
        <v>254</v>
      </c>
      <c r="CL25" s="180">
        <v>8456</v>
      </c>
    </row>
    <row r="26" spans="1:90">
      <c r="A26" s="93">
        <f>ROWS($A$3:A24)</f>
        <v>22</v>
      </c>
      <c r="B26" s="59" t="s">
        <v>270</v>
      </c>
      <c r="C26" s="241"/>
      <c r="D26" s="332" t="s">
        <v>14</v>
      </c>
      <c r="E26" s="333"/>
      <c r="F26" s="156">
        <f>1624+1371</f>
        <v>2995</v>
      </c>
      <c r="G26" s="177">
        <f>573+410</f>
        <v>983</v>
      </c>
      <c r="H26" s="177">
        <f>1755+1249</f>
        <v>3004</v>
      </c>
      <c r="I26" s="178">
        <f>1450+1499</f>
        <v>2949</v>
      </c>
      <c r="J26" s="181"/>
      <c r="K26" s="156">
        <f t="shared" si="37"/>
        <v>565</v>
      </c>
      <c r="L26" s="177">
        <f t="shared" si="38"/>
        <v>253</v>
      </c>
      <c r="M26" s="177">
        <f t="shared" si="39"/>
        <v>339</v>
      </c>
      <c r="N26" s="177">
        <f t="shared" si="40"/>
        <v>164</v>
      </c>
      <c r="O26" s="177">
        <f t="shared" si="41"/>
        <v>131</v>
      </c>
      <c r="P26" s="177">
        <f>'2009'!AZ26+'2009'!BA26</f>
        <v>317</v>
      </c>
      <c r="Q26" s="177">
        <f>'2009'!AU26</f>
        <v>157</v>
      </c>
      <c r="R26" s="177">
        <f t="shared" si="42"/>
        <v>202</v>
      </c>
      <c r="S26" s="177">
        <f t="shared" si="43"/>
        <v>126</v>
      </c>
      <c r="T26" s="177">
        <f t="shared" si="44"/>
        <v>249</v>
      </c>
      <c r="U26" s="179">
        <f t="shared" si="45"/>
        <v>492</v>
      </c>
      <c r="V26" s="177">
        <f t="shared" si="46"/>
        <v>103</v>
      </c>
      <c r="W26" s="177">
        <f t="shared" si="47"/>
        <v>120</v>
      </c>
      <c r="X26" s="177">
        <f t="shared" si="48"/>
        <v>127</v>
      </c>
      <c r="Y26" s="177">
        <f t="shared" si="49"/>
        <v>199</v>
      </c>
      <c r="Z26" s="177">
        <f t="shared" si="50"/>
        <v>220</v>
      </c>
      <c r="AA26" s="177">
        <f t="shared" si="51"/>
        <v>90</v>
      </c>
      <c r="AB26" s="179">
        <f t="shared" si="52"/>
        <v>124</v>
      </c>
      <c r="AC26" s="177">
        <f t="shared" si="53"/>
        <v>234</v>
      </c>
      <c r="AD26" s="177">
        <f t="shared" si="54"/>
        <v>324</v>
      </c>
      <c r="AE26" s="177">
        <f t="shared" si="55"/>
        <v>548</v>
      </c>
      <c r="AF26" s="177">
        <f t="shared" si="56"/>
        <v>284</v>
      </c>
      <c r="AG26" s="177">
        <f t="shared" si="57"/>
        <v>730</v>
      </c>
      <c r="AH26" s="177">
        <f t="shared" si="58"/>
        <v>183</v>
      </c>
      <c r="AI26" s="177">
        <f t="shared" si="59"/>
        <v>210</v>
      </c>
      <c r="AJ26" s="177">
        <f t="shared" si="60"/>
        <v>125</v>
      </c>
      <c r="AK26" s="179">
        <f t="shared" si="61"/>
        <v>366</v>
      </c>
      <c r="AL26" s="177">
        <f t="shared" si="62"/>
        <v>203</v>
      </c>
      <c r="AM26" s="177">
        <f t="shared" si="63"/>
        <v>416</v>
      </c>
      <c r="AN26" s="177">
        <f t="shared" si="64"/>
        <v>665</v>
      </c>
      <c r="AO26" s="177">
        <f t="shared" si="65"/>
        <v>290</v>
      </c>
      <c r="AP26" s="177">
        <f t="shared" si="66"/>
        <v>95</v>
      </c>
      <c r="AQ26" s="177">
        <f t="shared" si="67"/>
        <v>343</v>
      </c>
      <c r="AR26" s="177">
        <f t="shared" si="68"/>
        <v>408</v>
      </c>
      <c r="AS26" s="178">
        <f t="shared" si="69"/>
        <v>529</v>
      </c>
      <c r="AT26" s="181">
        <f>14+10</f>
        <v>24</v>
      </c>
      <c r="AU26" s="181">
        <f>84+73</f>
        <v>157</v>
      </c>
      <c r="AV26" s="181">
        <f>70+56</f>
        <v>126</v>
      </c>
      <c r="AW26" s="181">
        <f>98+66</f>
        <v>164</v>
      </c>
      <c r="AX26" s="181">
        <f>94+84</f>
        <v>178</v>
      </c>
      <c r="AY26" s="177">
        <f>151+102</f>
        <v>253</v>
      </c>
      <c r="AZ26" s="177">
        <f>13+11</f>
        <v>24</v>
      </c>
      <c r="BA26" s="177">
        <f>164+129</f>
        <v>293</v>
      </c>
      <c r="BB26" s="177">
        <f>131+118</f>
        <v>249</v>
      </c>
      <c r="BC26" s="177">
        <f>254+238</f>
        <v>492</v>
      </c>
      <c r="BD26" s="177">
        <f>174+165</f>
        <v>339</v>
      </c>
      <c r="BE26" s="177">
        <f>71+60</f>
        <v>131</v>
      </c>
      <c r="BF26" s="179">
        <f>306+259</f>
        <v>565</v>
      </c>
      <c r="BG26" s="177">
        <f>6+2</f>
        <v>8</v>
      </c>
      <c r="BH26" s="177">
        <v>11</v>
      </c>
      <c r="BI26" s="177">
        <f>63+53</f>
        <v>116</v>
      </c>
      <c r="BJ26" s="177">
        <f>61+34</f>
        <v>95</v>
      </c>
      <c r="BK26" s="177">
        <v>20</v>
      </c>
      <c r="BL26" s="177">
        <v>8</v>
      </c>
      <c r="BM26" s="177">
        <f>119+101</f>
        <v>220</v>
      </c>
      <c r="BN26" s="177">
        <f>96+75</f>
        <v>171</v>
      </c>
      <c r="BO26" s="177">
        <v>2</v>
      </c>
      <c r="BP26" s="177">
        <f>75+49</f>
        <v>124</v>
      </c>
      <c r="BQ26" s="177">
        <f>58+30</f>
        <v>88</v>
      </c>
      <c r="BR26" s="179">
        <f>75+45</f>
        <v>120</v>
      </c>
      <c r="BS26" s="177">
        <f>15+12</f>
        <v>27</v>
      </c>
      <c r="BT26" s="177">
        <f>309+212</f>
        <v>521</v>
      </c>
      <c r="BU26" s="177">
        <f>202+122</f>
        <v>324</v>
      </c>
      <c r="BV26" s="177">
        <f>490+240</f>
        <v>730</v>
      </c>
      <c r="BW26" s="177">
        <f>120+90</f>
        <v>210</v>
      </c>
      <c r="BX26" s="177">
        <f>111+123</f>
        <v>234</v>
      </c>
      <c r="BY26" s="177">
        <f>62+63</f>
        <v>125</v>
      </c>
      <c r="BZ26" s="177">
        <f>100+83</f>
        <v>183</v>
      </c>
      <c r="CA26" s="177">
        <f>148+136</f>
        <v>284</v>
      </c>
      <c r="CB26" s="179">
        <f>198+168</f>
        <v>366</v>
      </c>
      <c r="CC26" s="177">
        <f>153+137</f>
        <v>290</v>
      </c>
      <c r="CD26" s="177">
        <f>51+44</f>
        <v>95</v>
      </c>
      <c r="CE26" s="177">
        <f>117+86</f>
        <v>203</v>
      </c>
      <c r="CF26" s="177">
        <v>27</v>
      </c>
      <c r="CG26" s="177">
        <f>251+251</f>
        <v>502</v>
      </c>
      <c r="CH26" s="177">
        <f>194+222</f>
        <v>416</v>
      </c>
      <c r="CI26" s="177">
        <f>226+182</f>
        <v>408</v>
      </c>
      <c r="CJ26" s="177">
        <f>287+378</f>
        <v>665</v>
      </c>
      <c r="CK26" s="178">
        <f>160+183</f>
        <v>343</v>
      </c>
      <c r="CL26" s="180">
        <f>5402+4529</f>
        <v>9931</v>
      </c>
    </row>
    <row r="27" spans="1:90">
      <c r="A27" s="93">
        <f>ROWS($A$3:A25)</f>
        <v>23</v>
      </c>
      <c r="B27" s="59" t="s">
        <v>271</v>
      </c>
      <c r="C27" s="241"/>
      <c r="D27" s="332" t="s">
        <v>14</v>
      </c>
      <c r="E27" s="333"/>
      <c r="F27" s="156">
        <f>848+733+1253+1026</f>
        <v>3860</v>
      </c>
      <c r="G27" s="177">
        <f>254+215+339+284</f>
        <v>1092</v>
      </c>
      <c r="H27" s="177">
        <f>657+556+738+532</f>
        <v>2483</v>
      </c>
      <c r="I27" s="178">
        <f>816+720+1164+952</f>
        <v>3652</v>
      </c>
      <c r="J27" s="181"/>
      <c r="K27" s="156">
        <f>BF27</f>
        <v>506</v>
      </c>
      <c r="L27" s="177">
        <f>AY27</f>
        <v>239</v>
      </c>
      <c r="M27" s="177">
        <f>BD27</f>
        <v>499</v>
      </c>
      <c r="N27" s="177">
        <f>AW27</f>
        <v>235</v>
      </c>
      <c r="O27" s="177">
        <f>BE27</f>
        <v>176</v>
      </c>
      <c r="P27" s="177">
        <f>'2009'!AZ27+'2009'!BA27</f>
        <v>459</v>
      </c>
      <c r="Q27" s="177">
        <f>'2009'!AU27</f>
        <v>158</v>
      </c>
      <c r="R27" s="177">
        <f>AT27+AX27</f>
        <v>385</v>
      </c>
      <c r="S27" s="177">
        <f>AV27</f>
        <v>161</v>
      </c>
      <c r="T27" s="177">
        <f>BB27</f>
        <v>314</v>
      </c>
      <c r="U27" s="179">
        <f>BC27</f>
        <v>728</v>
      </c>
      <c r="V27" s="177">
        <f>BG27+BJ27</f>
        <v>63</v>
      </c>
      <c r="W27" s="177">
        <f>BR27</f>
        <v>139</v>
      </c>
      <c r="X27" s="177">
        <f>BH27+BI27</f>
        <v>157</v>
      </c>
      <c r="Y27" s="177">
        <f>BK27+BL27+BN27</f>
        <v>306</v>
      </c>
      <c r="Z27" s="177">
        <f>BM27</f>
        <v>242</v>
      </c>
      <c r="AA27" s="177">
        <f>BO27+BQ27</f>
        <v>95</v>
      </c>
      <c r="AB27" s="179">
        <f>BP27</f>
        <v>90</v>
      </c>
      <c r="AC27" s="177">
        <f>BX27</f>
        <v>359</v>
      </c>
      <c r="AD27" s="177">
        <f>BU27</f>
        <v>214</v>
      </c>
      <c r="AE27" s="177">
        <f>BS27+BT27</f>
        <v>554</v>
      </c>
      <c r="AF27" s="177">
        <f>CA27</f>
        <v>260</v>
      </c>
      <c r="AG27" s="177">
        <f>BV27</f>
        <v>373</v>
      </c>
      <c r="AH27" s="177">
        <f>BZ27</f>
        <v>191</v>
      </c>
      <c r="AI27" s="177">
        <f>BW27</f>
        <v>162</v>
      </c>
      <c r="AJ27" s="177">
        <f>BY27</f>
        <v>84</v>
      </c>
      <c r="AK27" s="179">
        <f>CB27</f>
        <v>286</v>
      </c>
      <c r="AL27" s="177">
        <f>CE27</f>
        <v>175</v>
      </c>
      <c r="AM27" s="177">
        <f>CH27</f>
        <v>663</v>
      </c>
      <c r="AN27" s="177">
        <f>CJ27</f>
        <v>1062</v>
      </c>
      <c r="AO27" s="177">
        <f>CC27</f>
        <v>273</v>
      </c>
      <c r="AP27" s="177">
        <f>CD27</f>
        <v>102</v>
      </c>
      <c r="AQ27" s="177">
        <f>CK27</f>
        <v>350</v>
      </c>
      <c r="AR27" s="177">
        <f>CI27</f>
        <v>371</v>
      </c>
      <c r="AS27" s="178">
        <f>CF27+CG27</f>
        <v>656</v>
      </c>
      <c r="AT27" s="181">
        <f>1+3+10+9</f>
        <v>23</v>
      </c>
      <c r="AU27" s="181">
        <f>32+25+63+38</f>
        <v>158</v>
      </c>
      <c r="AV27" s="181">
        <f>31+32+54+44</f>
        <v>161</v>
      </c>
      <c r="AW27" s="181">
        <f>50+46+74+65</f>
        <v>235</v>
      </c>
      <c r="AX27" s="181">
        <f>76+67+115+104</f>
        <v>362</v>
      </c>
      <c r="AY27" s="177">
        <f>69+47+70+53</f>
        <v>239</v>
      </c>
      <c r="AZ27" s="177">
        <f>9+8+20+12</f>
        <v>49</v>
      </c>
      <c r="BA27" s="177">
        <f>81+69+153+107</f>
        <v>410</v>
      </c>
      <c r="BB27" s="177">
        <f>76+62+86+90</f>
        <v>314</v>
      </c>
      <c r="BC27" s="177">
        <f>147+138+238+205</f>
        <v>728</v>
      </c>
      <c r="BD27" s="177">
        <f>106+106+159+128</f>
        <v>499</v>
      </c>
      <c r="BE27" s="177">
        <f>35+29+63+49</f>
        <v>176</v>
      </c>
      <c r="BF27" s="179">
        <f>135+101+148+122</f>
        <v>506</v>
      </c>
      <c r="BG27" s="177">
        <f>3+2+1+1</f>
        <v>7</v>
      </c>
      <c r="BH27" s="177">
        <v>18</v>
      </c>
      <c r="BI27" s="177">
        <f>35+25+42+37</f>
        <v>139</v>
      </c>
      <c r="BJ27" s="177">
        <f>22+10+12+12</f>
        <v>56</v>
      </c>
      <c r="BK27" s="177">
        <v>22</v>
      </c>
      <c r="BL27" s="177">
        <v>21</v>
      </c>
      <c r="BM27" s="177">
        <f>49+58+75+60</f>
        <v>242</v>
      </c>
      <c r="BN27" s="177">
        <f>63+41+78+81</f>
        <v>263</v>
      </c>
      <c r="BO27" s="177">
        <v>4</v>
      </c>
      <c r="BP27" s="177">
        <f>17+23+31+19</f>
        <v>90</v>
      </c>
      <c r="BQ27" s="177">
        <f>19+16+28+28</f>
        <v>91</v>
      </c>
      <c r="BR27" s="179">
        <f>34+25+44+36</f>
        <v>139</v>
      </c>
      <c r="BS27" s="177">
        <f>8+3+10+8</f>
        <v>29</v>
      </c>
      <c r="BT27" s="177">
        <f>135+137+175+78</f>
        <v>525</v>
      </c>
      <c r="BU27" s="177">
        <f>79+43+50+42</f>
        <v>214</v>
      </c>
      <c r="BV27" s="177">
        <f>136+70+94+73</f>
        <v>373</v>
      </c>
      <c r="BW27" s="177">
        <f>35+41+40+46</f>
        <v>162</v>
      </c>
      <c r="BX27" s="177">
        <f>78+87+112+82</f>
        <v>359</v>
      </c>
      <c r="BY27" s="177">
        <f>14+19+20+31</f>
        <v>84</v>
      </c>
      <c r="BZ27" s="177">
        <f>44+45+55+47</f>
        <v>191</v>
      </c>
      <c r="CA27" s="177">
        <f>68+51+89+52</f>
        <v>260</v>
      </c>
      <c r="CB27" s="179">
        <f>60+60+93+73</f>
        <v>286</v>
      </c>
      <c r="CC27" s="177">
        <f>54+50+92+77</f>
        <v>273</v>
      </c>
      <c r="CD27" s="177">
        <f>19+25+29+29</f>
        <v>102</v>
      </c>
      <c r="CE27" s="177">
        <f>48+30+54+43</f>
        <v>175</v>
      </c>
      <c r="CF27" s="177">
        <v>34</v>
      </c>
      <c r="CG27" s="177">
        <f>149+135+195+143</f>
        <v>622</v>
      </c>
      <c r="CH27" s="177">
        <f>139+121+212+191</f>
        <v>663</v>
      </c>
      <c r="CI27" s="177">
        <f>122+70+103+76</f>
        <v>371</v>
      </c>
      <c r="CJ27" s="177">
        <f>194+207+363+298</f>
        <v>1062</v>
      </c>
      <c r="CK27" s="178">
        <f>86+75+105+84</f>
        <v>350</v>
      </c>
      <c r="CL27" s="180">
        <f>2575+2224+3494+2794</f>
        <v>11087</v>
      </c>
    </row>
    <row r="28" spans="1:90">
      <c r="A28" s="93">
        <f>ROWS($A$3:A26)</f>
        <v>24</v>
      </c>
      <c r="B28" s="59" t="s">
        <v>5</v>
      </c>
      <c r="C28" s="241"/>
      <c r="D28" s="332" t="s">
        <v>14</v>
      </c>
      <c r="E28" s="333"/>
      <c r="F28" s="156">
        <f>1563+752</f>
        <v>2315</v>
      </c>
      <c r="G28" s="177">
        <f>486+334</f>
        <v>820</v>
      </c>
      <c r="H28" s="177">
        <f>813+461</f>
        <v>1274</v>
      </c>
      <c r="I28" s="178">
        <f>1376+647</f>
        <v>2023</v>
      </c>
      <c r="J28" s="181"/>
      <c r="K28" s="156">
        <f t="shared" si="37"/>
        <v>315</v>
      </c>
      <c r="L28" s="177">
        <f t="shared" si="38"/>
        <v>104</v>
      </c>
      <c r="M28" s="177">
        <f t="shared" si="39"/>
        <v>262</v>
      </c>
      <c r="N28" s="177">
        <f t="shared" si="40"/>
        <v>167</v>
      </c>
      <c r="O28" s="177">
        <f t="shared" si="41"/>
        <v>148</v>
      </c>
      <c r="P28" s="177">
        <f>'2009'!AZ28+'2009'!BA28</f>
        <v>268</v>
      </c>
      <c r="Q28" s="177">
        <f>'2009'!AU28</f>
        <v>111</v>
      </c>
      <c r="R28" s="177">
        <f t="shared" si="42"/>
        <v>180</v>
      </c>
      <c r="S28" s="177">
        <f t="shared" si="43"/>
        <v>101</v>
      </c>
      <c r="T28" s="177">
        <f t="shared" si="44"/>
        <v>204</v>
      </c>
      <c r="U28" s="179">
        <f t="shared" si="45"/>
        <v>455</v>
      </c>
      <c r="V28" s="177">
        <f t="shared" si="46"/>
        <v>43</v>
      </c>
      <c r="W28" s="177">
        <f t="shared" si="47"/>
        <v>74</v>
      </c>
      <c r="X28" s="177">
        <f t="shared" si="48"/>
        <v>142</v>
      </c>
      <c r="Y28" s="177">
        <f t="shared" si="49"/>
        <v>218</v>
      </c>
      <c r="Z28" s="177">
        <f t="shared" si="50"/>
        <v>175</v>
      </c>
      <c r="AA28" s="177">
        <f t="shared" si="51"/>
        <v>92</v>
      </c>
      <c r="AB28" s="179">
        <f t="shared" si="52"/>
        <v>76</v>
      </c>
      <c r="AC28" s="177">
        <f t="shared" si="53"/>
        <v>178</v>
      </c>
      <c r="AD28" s="177">
        <f t="shared" si="54"/>
        <v>59</v>
      </c>
      <c r="AE28" s="177">
        <f t="shared" si="55"/>
        <v>197</v>
      </c>
      <c r="AF28" s="177">
        <f t="shared" si="56"/>
        <v>94</v>
      </c>
      <c r="AG28" s="177">
        <f t="shared" si="57"/>
        <v>184</v>
      </c>
      <c r="AH28" s="177">
        <f t="shared" si="58"/>
        <v>161</v>
      </c>
      <c r="AI28" s="177">
        <f t="shared" si="59"/>
        <v>140</v>
      </c>
      <c r="AJ28" s="177">
        <f t="shared" si="60"/>
        <v>84</v>
      </c>
      <c r="AK28" s="179">
        <f t="shared" si="61"/>
        <v>177</v>
      </c>
      <c r="AL28" s="177">
        <f t="shared" si="62"/>
        <v>112</v>
      </c>
      <c r="AM28" s="177">
        <f t="shared" si="63"/>
        <v>430</v>
      </c>
      <c r="AN28" s="177">
        <f t="shared" si="64"/>
        <v>447</v>
      </c>
      <c r="AO28" s="177">
        <f t="shared" si="65"/>
        <v>172</v>
      </c>
      <c r="AP28" s="177">
        <f t="shared" si="66"/>
        <v>45</v>
      </c>
      <c r="AQ28" s="177">
        <f t="shared" si="67"/>
        <v>226</v>
      </c>
      <c r="AR28" s="177">
        <f t="shared" si="68"/>
        <v>127</v>
      </c>
      <c r="AS28" s="178">
        <f t="shared" si="69"/>
        <v>464</v>
      </c>
      <c r="AT28" s="181">
        <f>6+3</f>
        <v>9</v>
      </c>
      <c r="AU28" s="181">
        <f>72+39</f>
        <v>111</v>
      </c>
      <c r="AV28" s="181">
        <f>69+32</f>
        <v>101</v>
      </c>
      <c r="AW28" s="181">
        <f>107+60</f>
        <v>167</v>
      </c>
      <c r="AX28" s="181">
        <f>120+51</f>
        <v>171</v>
      </c>
      <c r="AY28" s="177">
        <f>64+40</f>
        <v>104</v>
      </c>
      <c r="AZ28" s="177">
        <f>12+3</f>
        <v>15</v>
      </c>
      <c r="BA28" s="177">
        <f>164+89</f>
        <v>253</v>
      </c>
      <c r="BB28" s="177">
        <f>153+51</f>
        <v>204</v>
      </c>
      <c r="BC28" s="177">
        <f>321+134</f>
        <v>455</v>
      </c>
      <c r="BD28" s="177">
        <f>177+85</f>
        <v>262</v>
      </c>
      <c r="BE28" s="177">
        <f>93+55</f>
        <v>148</v>
      </c>
      <c r="BF28" s="179">
        <f>205+110</f>
        <v>315</v>
      </c>
      <c r="BG28" s="177">
        <f>2+3</f>
        <v>5</v>
      </c>
      <c r="BH28" s="177">
        <v>7</v>
      </c>
      <c r="BI28" s="177">
        <f>75+60</f>
        <v>135</v>
      </c>
      <c r="BJ28" s="177">
        <f>23+15</f>
        <v>38</v>
      </c>
      <c r="BK28" s="177">
        <v>8</v>
      </c>
      <c r="BL28" s="177">
        <v>16</v>
      </c>
      <c r="BM28" s="177">
        <f>106+69</f>
        <v>175</v>
      </c>
      <c r="BN28" s="177">
        <f>117+77</f>
        <v>194</v>
      </c>
      <c r="BO28" s="177">
        <v>4</v>
      </c>
      <c r="BP28" s="177">
        <f>52+24</f>
        <v>76</v>
      </c>
      <c r="BQ28" s="177">
        <f>47+41</f>
        <v>88</v>
      </c>
      <c r="BR28" s="179">
        <f>43+31</f>
        <v>74</v>
      </c>
      <c r="BS28" s="177">
        <f>10+1</f>
        <v>11</v>
      </c>
      <c r="BT28" s="177">
        <f>129+57</f>
        <v>186</v>
      </c>
      <c r="BU28" s="177">
        <f>45+14</f>
        <v>59</v>
      </c>
      <c r="BV28" s="177">
        <f>121+63</f>
        <v>184</v>
      </c>
      <c r="BW28" s="177">
        <f>84+56</f>
        <v>140</v>
      </c>
      <c r="BX28" s="177">
        <f>105+73</f>
        <v>178</v>
      </c>
      <c r="BY28" s="177">
        <f>51+33</f>
        <v>84</v>
      </c>
      <c r="BZ28" s="177">
        <f>92+69</f>
        <v>161</v>
      </c>
      <c r="CA28" s="177">
        <f>65+29</f>
        <v>94</v>
      </c>
      <c r="CB28" s="179">
        <f>111+66</f>
        <v>177</v>
      </c>
      <c r="CC28" s="177">
        <f>109+63</f>
        <v>172</v>
      </c>
      <c r="CD28" s="177">
        <f>21+24</f>
        <v>45</v>
      </c>
      <c r="CE28" s="177">
        <f>53+59</f>
        <v>112</v>
      </c>
      <c r="CF28" s="177">
        <v>33</v>
      </c>
      <c r="CG28" s="177">
        <f>300+131</f>
        <v>431</v>
      </c>
      <c r="CH28" s="177">
        <f>303+127</f>
        <v>430</v>
      </c>
      <c r="CI28" s="177">
        <f>90+37</f>
        <v>127</v>
      </c>
      <c r="CJ28" s="177">
        <f>347+100</f>
        <v>447</v>
      </c>
      <c r="CK28" s="178">
        <f>131+95</f>
        <v>226</v>
      </c>
      <c r="CL28" s="180">
        <f>4238+2194</f>
        <v>6432</v>
      </c>
    </row>
    <row r="29" spans="1:90">
      <c r="A29" s="93">
        <f>ROWS($A$3:A27)</f>
        <v>25</v>
      </c>
      <c r="B29" s="59" t="s">
        <v>6</v>
      </c>
      <c r="C29" s="241"/>
      <c r="D29" s="332" t="s">
        <v>14</v>
      </c>
      <c r="E29" s="333"/>
      <c r="F29" s="156">
        <v>754</v>
      </c>
      <c r="G29" s="177">
        <v>523</v>
      </c>
      <c r="H29" s="177">
        <v>537</v>
      </c>
      <c r="I29" s="178">
        <v>698</v>
      </c>
      <c r="J29" s="181"/>
      <c r="K29" s="156">
        <f t="shared" si="37"/>
        <v>114</v>
      </c>
      <c r="L29" s="177">
        <f t="shared" si="38"/>
        <v>30</v>
      </c>
      <c r="M29" s="177">
        <f t="shared" si="39"/>
        <v>164</v>
      </c>
      <c r="N29" s="177">
        <f t="shared" si="40"/>
        <v>35</v>
      </c>
      <c r="O29" s="177">
        <f t="shared" si="41"/>
        <v>52</v>
      </c>
      <c r="P29" s="177">
        <f>'2009'!AZ29+'2009'!BA29</f>
        <v>98</v>
      </c>
      <c r="Q29" s="177">
        <f>'2009'!AU29</f>
        <v>45</v>
      </c>
      <c r="R29" s="177">
        <f t="shared" si="42"/>
        <v>27</v>
      </c>
      <c r="S29" s="177">
        <f t="shared" si="43"/>
        <v>28</v>
      </c>
      <c r="T29" s="177">
        <f t="shared" si="44"/>
        <v>76</v>
      </c>
      <c r="U29" s="179">
        <f t="shared" si="45"/>
        <v>85</v>
      </c>
      <c r="V29" s="177">
        <f t="shared" si="46"/>
        <v>47</v>
      </c>
      <c r="W29" s="177">
        <f t="shared" si="47"/>
        <v>38</v>
      </c>
      <c r="X29" s="177">
        <f t="shared" si="48"/>
        <v>134</v>
      </c>
      <c r="Y29" s="177">
        <f t="shared" si="49"/>
        <v>82</v>
      </c>
      <c r="Z29" s="177">
        <f t="shared" si="50"/>
        <v>133</v>
      </c>
      <c r="AA29" s="177">
        <f t="shared" si="51"/>
        <v>53</v>
      </c>
      <c r="AB29" s="179">
        <f t="shared" si="52"/>
        <v>36</v>
      </c>
      <c r="AC29" s="177">
        <f t="shared" si="53"/>
        <v>64</v>
      </c>
      <c r="AD29" s="177">
        <f t="shared" si="54"/>
        <v>26</v>
      </c>
      <c r="AE29" s="177">
        <f t="shared" si="55"/>
        <v>45</v>
      </c>
      <c r="AF29" s="177">
        <f t="shared" si="56"/>
        <v>15</v>
      </c>
      <c r="AG29" s="177">
        <f t="shared" si="57"/>
        <v>84</v>
      </c>
      <c r="AH29" s="177">
        <f t="shared" si="58"/>
        <v>88</v>
      </c>
      <c r="AI29" s="177">
        <f t="shared" si="59"/>
        <v>73</v>
      </c>
      <c r="AJ29" s="177">
        <f t="shared" si="60"/>
        <v>81</v>
      </c>
      <c r="AK29" s="179">
        <f t="shared" si="61"/>
        <v>61</v>
      </c>
      <c r="AL29" s="177">
        <f t="shared" si="62"/>
        <v>95</v>
      </c>
      <c r="AM29" s="177">
        <f t="shared" si="63"/>
        <v>119</v>
      </c>
      <c r="AN29" s="177">
        <f t="shared" si="64"/>
        <v>56</v>
      </c>
      <c r="AO29" s="177">
        <f t="shared" si="65"/>
        <v>94</v>
      </c>
      <c r="AP29" s="177">
        <f t="shared" si="66"/>
        <v>62</v>
      </c>
      <c r="AQ29" s="177">
        <f t="shared" si="67"/>
        <v>133</v>
      </c>
      <c r="AR29" s="177">
        <f t="shared" si="68"/>
        <v>22</v>
      </c>
      <c r="AS29" s="178">
        <f t="shared" si="69"/>
        <v>117</v>
      </c>
      <c r="AT29" s="181">
        <v>2</v>
      </c>
      <c r="AU29" s="181">
        <v>45</v>
      </c>
      <c r="AV29" s="181">
        <v>28</v>
      </c>
      <c r="AW29" s="181">
        <v>35</v>
      </c>
      <c r="AX29" s="181">
        <v>25</v>
      </c>
      <c r="AY29" s="177">
        <v>30</v>
      </c>
      <c r="AZ29" s="177">
        <v>5</v>
      </c>
      <c r="BA29" s="177">
        <v>93</v>
      </c>
      <c r="BB29" s="177">
        <v>76</v>
      </c>
      <c r="BC29" s="177">
        <v>85</v>
      </c>
      <c r="BD29" s="177">
        <v>164</v>
      </c>
      <c r="BE29" s="177">
        <v>52</v>
      </c>
      <c r="BF29" s="179">
        <v>114</v>
      </c>
      <c r="BG29" s="177">
        <v>3</v>
      </c>
      <c r="BH29" s="177">
        <v>6</v>
      </c>
      <c r="BI29" s="177">
        <f>128</f>
        <v>128</v>
      </c>
      <c r="BJ29" s="177">
        <f>44</f>
        <v>44</v>
      </c>
      <c r="BK29" s="177">
        <v>1</v>
      </c>
      <c r="BL29" s="177">
        <v>5</v>
      </c>
      <c r="BM29" s="177">
        <v>133</v>
      </c>
      <c r="BN29" s="177">
        <v>76</v>
      </c>
      <c r="BO29" s="177">
        <v>4</v>
      </c>
      <c r="BP29" s="177">
        <v>36</v>
      </c>
      <c r="BQ29" s="177">
        <v>49</v>
      </c>
      <c r="BR29" s="179">
        <v>38</v>
      </c>
      <c r="BS29" s="177">
        <v>5</v>
      </c>
      <c r="BT29" s="177">
        <v>40</v>
      </c>
      <c r="BU29" s="177">
        <f>26</f>
        <v>26</v>
      </c>
      <c r="BV29" s="177">
        <v>84</v>
      </c>
      <c r="BW29" s="177">
        <v>73</v>
      </c>
      <c r="BX29" s="177">
        <v>64</v>
      </c>
      <c r="BY29" s="177">
        <v>81</v>
      </c>
      <c r="BZ29" s="177">
        <f>88</f>
        <v>88</v>
      </c>
      <c r="CA29" s="177">
        <v>15</v>
      </c>
      <c r="CB29" s="179">
        <f>61</f>
        <v>61</v>
      </c>
      <c r="CC29" s="177">
        <f>94</f>
        <v>94</v>
      </c>
      <c r="CD29" s="177">
        <v>62</v>
      </c>
      <c r="CE29" s="177">
        <v>95</v>
      </c>
      <c r="CF29" s="177">
        <v>6</v>
      </c>
      <c r="CG29" s="177">
        <v>111</v>
      </c>
      <c r="CH29" s="177">
        <v>119</v>
      </c>
      <c r="CI29" s="177">
        <v>22</v>
      </c>
      <c r="CJ29" s="177">
        <v>56</v>
      </c>
      <c r="CK29" s="178">
        <v>133</v>
      </c>
      <c r="CL29" s="180">
        <f>2512</f>
        <v>2512</v>
      </c>
    </row>
    <row r="30" spans="1:90">
      <c r="A30" s="93">
        <f>ROWS($A$3:A28)</f>
        <v>26</v>
      </c>
      <c r="B30" s="60" t="s">
        <v>276</v>
      </c>
      <c r="C30" s="323"/>
      <c r="D30" s="332" t="s">
        <v>1</v>
      </c>
      <c r="E30" s="333"/>
      <c r="F30" s="207">
        <f>F35/F23</f>
        <v>25.940701696590349</v>
      </c>
      <c r="G30" s="208">
        <f>G35/G23</f>
        <v>30.661200541597712</v>
      </c>
      <c r="H30" s="208">
        <f>H35/H23</f>
        <v>18.05483230361871</v>
      </c>
      <c r="I30" s="209">
        <f>I35/I23</f>
        <v>30.732095868003697</v>
      </c>
      <c r="J30" s="213"/>
      <c r="K30" s="218">
        <f t="shared" si="37"/>
        <v>28.840750436300173</v>
      </c>
      <c r="L30" s="219">
        <f t="shared" si="38"/>
        <v>15.357728337236534</v>
      </c>
      <c r="M30" s="219">
        <f t="shared" si="39"/>
        <v>36.372899159663866</v>
      </c>
      <c r="N30" s="219">
        <f t="shared" si="40"/>
        <v>30.497320471597</v>
      </c>
      <c r="O30" s="219">
        <f t="shared" si="41"/>
        <v>39.758672699849171</v>
      </c>
      <c r="P30" s="208">
        <f>P35/P23</f>
        <v>20.014591109602986</v>
      </c>
      <c r="Q30" s="219">
        <f>'2009'!AU30</f>
        <v>28.835249042145595</v>
      </c>
      <c r="R30" s="208">
        <f>R35/R23</f>
        <v>17.007755695588948</v>
      </c>
      <c r="S30" s="219">
        <f t="shared" si="43"/>
        <v>23.418331374853114</v>
      </c>
      <c r="T30" s="219">
        <f t="shared" si="44"/>
        <v>26.487373737373737</v>
      </c>
      <c r="U30" s="220">
        <f t="shared" si="45"/>
        <v>31.196378269617707</v>
      </c>
      <c r="V30" s="208">
        <f>V35/V23</f>
        <v>16.553784860557769</v>
      </c>
      <c r="W30" s="219">
        <f t="shared" si="47"/>
        <v>26.178284182305632</v>
      </c>
      <c r="X30" s="208">
        <f>X35/X23</f>
        <v>36.625800548947851</v>
      </c>
      <c r="Y30" s="208">
        <f>Y35/Y23</f>
        <v>31.397959183673468</v>
      </c>
      <c r="Z30" s="219">
        <f t="shared" si="50"/>
        <v>40.707211120764555</v>
      </c>
      <c r="AA30" s="208">
        <f>AA35/AA23</f>
        <v>33.976391231028671</v>
      </c>
      <c r="AB30" s="220">
        <f t="shared" si="52"/>
        <v>25.5</v>
      </c>
      <c r="AC30" s="219">
        <f t="shared" si="53"/>
        <v>29.788679245283017</v>
      </c>
      <c r="AD30" s="219">
        <f t="shared" si="54"/>
        <v>11.494235588972431</v>
      </c>
      <c r="AE30" s="208">
        <f>AE35/AE23</f>
        <v>13.066144047035767</v>
      </c>
      <c r="AF30" s="219">
        <f t="shared" si="56"/>
        <v>17.436907366885485</v>
      </c>
      <c r="AG30" s="219">
        <f t="shared" si="57"/>
        <v>11.835950080515298</v>
      </c>
      <c r="AH30" s="219">
        <f t="shared" si="58"/>
        <v>30.728406055209263</v>
      </c>
      <c r="AI30" s="219">
        <f t="shared" si="59"/>
        <v>28.943714821763603</v>
      </c>
      <c r="AJ30" s="219">
        <f t="shared" si="60"/>
        <v>42.901234567901234</v>
      </c>
      <c r="AK30" s="220">
        <f t="shared" si="61"/>
        <v>24.014101778050275</v>
      </c>
      <c r="AL30" s="219">
        <f t="shared" si="62"/>
        <v>36.914502164502167</v>
      </c>
      <c r="AM30" s="219">
        <f t="shared" si="63"/>
        <v>35.15269596737653</v>
      </c>
      <c r="AN30" s="219">
        <f t="shared" si="64"/>
        <v>28.22636655948553</v>
      </c>
      <c r="AO30" s="219">
        <f t="shared" si="65"/>
        <v>32.446107784431135</v>
      </c>
      <c r="AP30" s="219">
        <f t="shared" si="66"/>
        <v>36.388278388278387</v>
      </c>
      <c r="AQ30" s="219">
        <f t="shared" si="67"/>
        <v>34.858496525584336</v>
      </c>
      <c r="AR30" s="219">
        <f t="shared" si="68"/>
        <v>17.063627254509019</v>
      </c>
      <c r="AS30" s="209">
        <f t="shared" ref="AS30:CL30" si="70">AS35/AS23</f>
        <v>33.994489190334889</v>
      </c>
      <c r="AT30" s="208">
        <f t="shared" si="70"/>
        <v>9.8910505836575879</v>
      </c>
      <c r="AU30" s="208">
        <f t="shared" si="70"/>
        <v>28.835249042145595</v>
      </c>
      <c r="AV30" s="208">
        <f t="shared" si="70"/>
        <v>23.418331374853114</v>
      </c>
      <c r="AW30" s="208">
        <f t="shared" si="70"/>
        <v>30.497320471597</v>
      </c>
      <c r="AX30" s="208">
        <f t="shared" si="70"/>
        <v>18.02048726467331</v>
      </c>
      <c r="AY30" s="208">
        <f t="shared" si="70"/>
        <v>15.357728337236534</v>
      </c>
      <c r="AZ30" s="208">
        <f t="shared" si="70"/>
        <v>19.356481481481481</v>
      </c>
      <c r="BA30" s="208">
        <f t="shared" si="70"/>
        <v>20.066642255584036</v>
      </c>
      <c r="BB30" s="208">
        <f t="shared" si="70"/>
        <v>26.487373737373737</v>
      </c>
      <c r="BC30" s="208">
        <f t="shared" si="70"/>
        <v>31.196378269617707</v>
      </c>
      <c r="BD30" s="208">
        <f t="shared" si="70"/>
        <v>36.372899159663866</v>
      </c>
      <c r="BE30" s="208">
        <f t="shared" si="70"/>
        <v>39.758672699849171</v>
      </c>
      <c r="BF30" s="216">
        <f t="shared" si="70"/>
        <v>28.840750436300173</v>
      </c>
      <c r="BG30" s="208">
        <f t="shared" si="70"/>
        <v>9.6408839779005522</v>
      </c>
      <c r="BH30" s="208">
        <f t="shared" si="70"/>
        <v>29.943181818181817</v>
      </c>
      <c r="BI30" s="208">
        <f t="shared" si="70"/>
        <v>37.210945273631843</v>
      </c>
      <c r="BJ30" s="208">
        <f t="shared" si="70"/>
        <v>18.074119076549209</v>
      </c>
      <c r="BK30" s="208">
        <f t="shared" si="70"/>
        <v>17.673076923076923</v>
      </c>
      <c r="BL30" s="208">
        <f t="shared" si="70"/>
        <v>34.450000000000003</v>
      </c>
      <c r="BM30" s="208">
        <f t="shared" si="70"/>
        <v>40.707211120764555</v>
      </c>
      <c r="BN30" s="208">
        <f t="shared" si="70"/>
        <v>32.393939393939391</v>
      </c>
      <c r="BO30" s="208">
        <f t="shared" si="70"/>
        <v>26.783783783783782</v>
      </c>
      <c r="BP30" s="208">
        <f t="shared" si="70"/>
        <v>25.5</v>
      </c>
      <c r="BQ30" s="208">
        <f t="shared" si="70"/>
        <v>34.455035971223019</v>
      </c>
      <c r="BR30" s="216">
        <f t="shared" si="70"/>
        <v>26.178284182305632</v>
      </c>
      <c r="BS30" s="208">
        <f t="shared" si="70"/>
        <v>13.158671586715867</v>
      </c>
      <c r="BT30" s="208">
        <f t="shared" si="70"/>
        <v>13.059564418787719</v>
      </c>
      <c r="BU30" s="208">
        <f t="shared" si="70"/>
        <v>11.494235588972431</v>
      </c>
      <c r="BV30" s="208">
        <f t="shared" si="70"/>
        <v>11.835950080515298</v>
      </c>
      <c r="BW30" s="208">
        <f t="shared" si="70"/>
        <v>28.943714821763603</v>
      </c>
      <c r="BX30" s="208">
        <f t="shared" si="70"/>
        <v>29.788679245283017</v>
      </c>
      <c r="BY30" s="208">
        <f t="shared" si="70"/>
        <v>42.901234567901234</v>
      </c>
      <c r="BZ30" s="208">
        <f t="shared" si="70"/>
        <v>30.728406055209263</v>
      </c>
      <c r="CA30" s="208">
        <f t="shared" si="70"/>
        <v>17.436907366885485</v>
      </c>
      <c r="CB30" s="216">
        <f t="shared" si="70"/>
        <v>24.014101778050275</v>
      </c>
      <c r="CC30" s="208">
        <f t="shared" si="70"/>
        <v>32.446107784431135</v>
      </c>
      <c r="CD30" s="208">
        <f t="shared" si="70"/>
        <v>36.388278388278387</v>
      </c>
      <c r="CE30" s="208">
        <f t="shared" si="70"/>
        <v>36.914502164502167</v>
      </c>
      <c r="CF30" s="208">
        <f t="shared" si="70"/>
        <v>32.739726027397261</v>
      </c>
      <c r="CG30" s="208">
        <f t="shared" si="70"/>
        <v>34.077270673294173</v>
      </c>
      <c r="CH30" s="208">
        <f t="shared" si="70"/>
        <v>35.15269596737653</v>
      </c>
      <c r="CI30" s="208">
        <f t="shared" si="70"/>
        <v>17.063627254509019</v>
      </c>
      <c r="CJ30" s="208">
        <f t="shared" si="70"/>
        <v>28.22636655948553</v>
      </c>
      <c r="CK30" s="209">
        <f t="shared" si="70"/>
        <v>34.858496525584336</v>
      </c>
      <c r="CL30" s="217">
        <f t="shared" si="70"/>
        <v>25.16576977685849</v>
      </c>
    </row>
    <row r="31" spans="1:90">
      <c r="A31" s="93">
        <f>ROWS($A$3:A29)</f>
        <v>27</v>
      </c>
      <c r="B31" s="60" t="str">
        <f>"Entwicklung Betriebe ab 5 ha LF von 2001 / "&amp;C23</f>
        <v>Entwicklung Betriebe ab 5 ha LF von 2001 / 2007</v>
      </c>
      <c r="C31" s="323"/>
      <c r="D31" s="332" t="s">
        <v>4</v>
      </c>
      <c r="E31" s="333"/>
      <c r="F31" s="182">
        <f>(F23-F24)/('2001'!F23-'2001'!F24)%-100</f>
        <v>-16.503800217155273</v>
      </c>
      <c r="G31" s="183">
        <f>(G23-G24)/('2001'!G23-'2001'!G24)%-100</f>
        <v>-14.628391663389692</v>
      </c>
      <c r="H31" s="183">
        <f>(H23-H24)/('2001'!H23-'2001'!H24)%-100</f>
        <v>-15.418786850819799</v>
      </c>
      <c r="I31" s="184">
        <f>(I23-I24)/('2001'!I23-'2001'!I24)%-100</f>
        <v>-17.614464858559344</v>
      </c>
      <c r="J31" s="181"/>
      <c r="K31" s="156">
        <f t="shared" si="37"/>
        <v>-17.603160667251984</v>
      </c>
      <c r="L31" s="177">
        <f t="shared" si="38"/>
        <v>-14.36837029893924</v>
      </c>
      <c r="M31" s="177">
        <f t="shared" si="39"/>
        <v>-19.881145326850358</v>
      </c>
      <c r="N31" s="177">
        <f t="shared" si="40"/>
        <v>-14.871194379391099</v>
      </c>
      <c r="O31" s="177">
        <f t="shared" si="41"/>
        <v>-12.406576980568019</v>
      </c>
      <c r="P31" s="183">
        <f>100-(P23%/((AZ23%)/(100-AZ31)+(BA23%)/(100-BA31)))</f>
        <v>-14.73228413599405</v>
      </c>
      <c r="Q31" s="186">
        <f>'2009'!AU31</f>
        <v>-19.11357340720221</v>
      </c>
      <c r="R31" s="183">
        <f>100-(R23%/((AT23%)/(100-AT31)+(AX23%)/(100-AX31)))</f>
        <v>-11.348012517026632</v>
      </c>
      <c r="S31" s="186">
        <f t="shared" si="43"/>
        <v>-16.388467374810318</v>
      </c>
      <c r="T31" s="186">
        <f t="shared" si="44"/>
        <v>-18.392581143740344</v>
      </c>
      <c r="U31" s="187">
        <f t="shared" si="45"/>
        <v>-17.130365659777425</v>
      </c>
      <c r="V31" s="183">
        <f>100-(V23%/((BG23%)/(100-BG31)+(BJ23%)/(100-BJ31)))</f>
        <v>-6.9569774860996887</v>
      </c>
      <c r="W31" s="186">
        <f t="shared" si="47"/>
        <v>-16.930379746835442</v>
      </c>
      <c r="X31" s="183">
        <f>100-(X23%/((BH23%)/(100-BH31)+(BI23%)/(100-BI31)))</f>
        <v>-12.625136266897684</v>
      </c>
      <c r="Y31" s="183">
        <f>100-(Y23%/((BK23%)/(100-BK31)+(BL23%)/(100-BL31)+(BN23%)/(100-BN31)))</f>
        <v>-15.221056483334152</v>
      </c>
      <c r="Z31" s="186">
        <f t="shared" si="50"/>
        <v>-15.727272727272734</v>
      </c>
      <c r="AA31" s="183">
        <f>100-(AA23%/((BO23%)/(100-BO31)+(BQ23%)/(100-BQ31)))</f>
        <v>-12.320124420285353</v>
      </c>
      <c r="AB31" s="187">
        <f t="shared" si="52"/>
        <v>-18.641114982578401</v>
      </c>
      <c r="AC31" s="186">
        <f t="shared" si="53"/>
        <v>-17.163009404388717</v>
      </c>
      <c r="AD31" s="186">
        <f t="shared" si="54"/>
        <v>-12.121212121212125</v>
      </c>
      <c r="AE31" s="183">
        <f>100-(AE23%/((BS23%)/(100-BS31)+(BT23%)/(100-BT31)))</f>
        <v>-13.098800393925458</v>
      </c>
      <c r="AF31" s="186">
        <f t="shared" si="56"/>
        <v>-15.843429636533088</v>
      </c>
      <c r="AG31" s="186">
        <f t="shared" si="57"/>
        <v>-13.049853372434015</v>
      </c>
      <c r="AH31" s="186">
        <f t="shared" si="58"/>
        <v>-17.083786724700758</v>
      </c>
      <c r="AI31" s="186">
        <f t="shared" si="59"/>
        <v>-17.694641051567245</v>
      </c>
      <c r="AJ31" s="186">
        <f t="shared" si="60"/>
        <v>-20</v>
      </c>
      <c r="AK31" s="187">
        <f t="shared" si="61"/>
        <v>-19.166666666666671</v>
      </c>
      <c r="AL31" s="186">
        <f t="shared" si="62"/>
        <v>-18.142548596112306</v>
      </c>
      <c r="AM31" s="186">
        <f t="shared" si="63"/>
        <v>-18.154246100519927</v>
      </c>
      <c r="AN31" s="186">
        <f t="shared" si="64"/>
        <v>-15.493421052631575</v>
      </c>
      <c r="AO31" s="186">
        <f t="shared" si="65"/>
        <v>-18.827160493827165</v>
      </c>
      <c r="AP31" s="186">
        <f t="shared" si="66"/>
        <v>-19.114688128772627</v>
      </c>
      <c r="AQ31" s="186">
        <f t="shared" si="67"/>
        <v>-19.531731361675909</v>
      </c>
      <c r="AR31" s="186">
        <f t="shared" si="68"/>
        <v>-14.391392064559511</v>
      </c>
      <c r="AS31" s="184">
        <f>100-(AS23%/((CF23%)/(100-CF31)+(CG23%)/(100-CG31)))</f>
        <v>-19.222851443449017</v>
      </c>
      <c r="AT31" s="186">
        <f>(AT23-AT24)/('2001'!AT23-'2001'!AT24)%-100</f>
        <v>-3.0612244897959187</v>
      </c>
      <c r="AU31" s="181">
        <f>(AU23-AU24)/('2001'!AU23-'2001'!AU24)%-100</f>
        <v>-19.11357340720221</v>
      </c>
      <c r="AV31" s="181">
        <f>(AV23-AV24)/('2001'!AV23-'2001'!AV24)%-100</f>
        <v>-16.388467374810318</v>
      </c>
      <c r="AW31" s="181">
        <f>(AW23-AW24)/('2001'!AW23-'2001'!AW24)%-100</f>
        <v>-14.871194379391099</v>
      </c>
      <c r="AX31" s="181">
        <f>(AX23-AX24)/('2001'!AX23-'2001'!AX24)%-100</f>
        <v>-12.636815920398021</v>
      </c>
      <c r="AY31" s="177">
        <f>(AY23-AY24)/('2001'!AY23-'2001'!AY24)%-100</f>
        <v>-14.36837029893924</v>
      </c>
      <c r="AZ31" s="177">
        <f>(AZ23-AZ24)/('2001'!AZ23-'2001'!AZ24)%-100</f>
        <v>-16.666666666666671</v>
      </c>
      <c r="BA31" s="177">
        <f>(BA23-BA24)/('2001'!BA23-'2001'!BA24)%-100</f>
        <v>-14.582023884349468</v>
      </c>
      <c r="BB31" s="177">
        <f>(BB23-BB24)/('2001'!BB23-'2001'!BB24)%-100</f>
        <v>-18.392581143740344</v>
      </c>
      <c r="BC31" s="177">
        <f>(BC23-BC24)/('2001'!BC23-'2001'!BC24)%-100</f>
        <v>-17.130365659777425</v>
      </c>
      <c r="BD31" s="177">
        <f>(BD23-BD24)/('2001'!BD23-'2001'!BD24)%-100</f>
        <v>-19.881145326850358</v>
      </c>
      <c r="BE31" s="177">
        <f>(BE23-BE24)/('2001'!BE23-'2001'!BE24)%-100</f>
        <v>-12.406576980568019</v>
      </c>
      <c r="BF31" s="179">
        <f>(BF23-BF24)/('2001'!BF23-'2001'!BF24)%-100</f>
        <v>-17.603160667251984</v>
      </c>
      <c r="BG31" s="177">
        <f>(BG23-BG24)/('2001'!BG23-'2001'!BG24)%-100</f>
        <v>-13.333333333333329</v>
      </c>
      <c r="BH31" s="177">
        <f>(BH23-BH24)/('2001'!BH23-'2001'!BH24)%-100</f>
        <v>-12.698412698412696</v>
      </c>
      <c r="BI31" s="177">
        <f>(BI23-BI24)/('2001'!BI23-'2001'!BI24)%-100</f>
        <v>-12.618724559023065</v>
      </c>
      <c r="BJ31" s="177">
        <f>(BJ23-BJ24)/('2001'!BJ23-'2001'!BJ24)%-100</f>
        <v>-5.6497175141242906</v>
      </c>
      <c r="BK31" s="177">
        <f>(BK23-BK24)/('2001'!BK23-'2001'!BK24)%-100</f>
        <v>-7.3529411764705941</v>
      </c>
      <c r="BL31" s="177">
        <f>(BL23-BL24)/('2001'!BL23-'2001'!BL24)%-100</f>
        <v>-24.324324324324323</v>
      </c>
      <c r="BM31" s="177">
        <f>(BM23-BM24)/('2001'!BM23-'2001'!BM24)%-100</f>
        <v>-15.727272727272734</v>
      </c>
      <c r="BN31" s="177">
        <f>(BN23-BN24)/('2001'!BN23-'2001'!BN24)%-100</f>
        <v>-15.392456676860348</v>
      </c>
      <c r="BO31" s="177">
        <f>(BO23-BO24)/('2001'!BO23-'2001'!BO24)%-100</f>
        <v>-19.047619047619051</v>
      </c>
      <c r="BP31" s="177">
        <f>(BP23-BP24)/('2001'!BP23-'2001'!BP24)%-100</f>
        <v>-18.641114982578401</v>
      </c>
      <c r="BQ31" s="177">
        <f>(BQ23-BQ24)/('2001'!BQ23-'2001'!BQ24)%-100</f>
        <v>-11.899313501144164</v>
      </c>
      <c r="BR31" s="179">
        <f>(BR23-BR24)/('2001'!BR23-'2001'!BR24)%-100</f>
        <v>-16.930379746835442</v>
      </c>
      <c r="BS31" s="177">
        <f>(BS23-BS24)/('2001'!BS23-'2001'!BS24)%-100</f>
        <v>-15.254237288135585</v>
      </c>
      <c r="BT31" s="177">
        <f>(BT23-BT24)/('2001'!BT23-'2001'!BT24)%-100</f>
        <v>-12.948593598448113</v>
      </c>
      <c r="BU31" s="177">
        <f>(BU23-BU24)/('2001'!BU23-'2001'!BU24)%-100</f>
        <v>-12.121212121212125</v>
      </c>
      <c r="BV31" s="177">
        <f>(BV23-BV24)/('2001'!BV23-'2001'!BV24)%-100</f>
        <v>-13.049853372434015</v>
      </c>
      <c r="BW31" s="177">
        <f>(BW23-BW24)/('2001'!BW23-'2001'!BW24)%-100</f>
        <v>-17.694641051567245</v>
      </c>
      <c r="BX31" s="177">
        <f>(BX23-BX24)/('2001'!BX23-'2001'!BX24)%-100</f>
        <v>-17.163009404388717</v>
      </c>
      <c r="BY31" s="177">
        <f>(BY23-BY24)/('2001'!BY23-'2001'!BY24)%-100</f>
        <v>-20</v>
      </c>
      <c r="BZ31" s="177">
        <f>(BZ23-BZ24)/('2001'!BZ23-'2001'!BZ24)%-100</f>
        <v>-17.083786724700758</v>
      </c>
      <c r="CA31" s="177">
        <f>(CA23-CA24)/('2001'!CA23-'2001'!CA24)%-100</f>
        <v>-15.843429636533088</v>
      </c>
      <c r="CB31" s="179">
        <f>(CB23-CB24)/('2001'!CB23-'2001'!CB24)%-100</f>
        <v>-19.166666666666671</v>
      </c>
      <c r="CC31" s="177">
        <f>(CC23-CC24)/('2001'!CC23-'2001'!CC24)%-100</f>
        <v>-18.827160493827165</v>
      </c>
      <c r="CD31" s="177">
        <f>(CD23-CD24)/('2001'!CD23-'2001'!CD24)%-100</f>
        <v>-19.114688128772627</v>
      </c>
      <c r="CE31" s="177">
        <f>(CE23-CE24)/('2001'!CE23-'2001'!CE24)%-100</f>
        <v>-18.142548596112306</v>
      </c>
      <c r="CF31" s="177">
        <f>(CF23-CF24)/('2001'!CF23-'2001'!CF24)%-100</f>
        <v>-19.565217391304344</v>
      </c>
      <c r="CG31" s="177">
        <f>(CG23-CG24)/('2001'!CG23-'2001'!CG24)%-100</f>
        <v>-19.200333194502292</v>
      </c>
      <c r="CH31" s="177">
        <f>(CH23-CH24)/('2001'!CH23-'2001'!CH24)%-100</f>
        <v>-18.154246100519927</v>
      </c>
      <c r="CI31" s="177">
        <f>(CI23-CI24)/('2001'!CI23-'2001'!CI24)%-100</f>
        <v>-14.391392064559511</v>
      </c>
      <c r="CJ31" s="177">
        <f>(CJ23-CJ24)/('2001'!CJ23-'2001'!CJ24)%-100</f>
        <v>-15.493421052631575</v>
      </c>
      <c r="CK31" s="178">
        <f>(CK23-CK24)/('2001'!CK23-'2001'!CK24)%-100</f>
        <v>-19.531731361675909</v>
      </c>
      <c r="CL31" s="180">
        <f>(CL23-CL24)/('2001'!CL23-'2001'!CL24)%-100</f>
        <v>-16.335286047170015</v>
      </c>
    </row>
    <row r="32" spans="1:90">
      <c r="A32" s="93">
        <f>ROWS($A$3:A30)</f>
        <v>28</v>
      </c>
      <c r="B32" s="60" t="s">
        <v>181</v>
      </c>
      <c r="C32" s="323"/>
      <c r="D32" s="332" t="s">
        <v>4</v>
      </c>
      <c r="E32" s="333"/>
      <c r="F32" s="156">
        <v>37</v>
      </c>
      <c r="G32" s="177">
        <v>31</v>
      </c>
      <c r="H32" s="177">
        <v>28</v>
      </c>
      <c r="I32" s="178">
        <v>42</v>
      </c>
      <c r="J32" s="181"/>
      <c r="K32" s="156">
        <f t="shared" si="37"/>
        <v>35</v>
      </c>
      <c r="L32" s="177">
        <f t="shared" si="38"/>
        <v>35</v>
      </c>
      <c r="M32" s="177">
        <f t="shared" si="39"/>
        <v>34</v>
      </c>
      <c r="N32" s="177">
        <f t="shared" si="40"/>
        <v>42</v>
      </c>
      <c r="O32" s="177">
        <f t="shared" si="41"/>
        <v>41</v>
      </c>
      <c r="P32" s="183">
        <f>(AZ23*AZ32+BA23*BA32)/P23</f>
        <v>40.539192399049881</v>
      </c>
      <c r="Q32" s="186">
        <f>'2009'!AU32</f>
        <v>30</v>
      </c>
      <c r="R32" s="183">
        <f>(AT23*AT32+AX23*AX32)/R23</f>
        <v>40.989820649539503</v>
      </c>
      <c r="S32" s="186">
        <f t="shared" si="43"/>
        <v>35</v>
      </c>
      <c r="T32" s="186">
        <f t="shared" si="44"/>
        <v>38</v>
      </c>
      <c r="U32" s="187">
        <f t="shared" si="45"/>
        <v>47</v>
      </c>
      <c r="V32" s="183">
        <f>(BG23*BG32+BJ23*BJ32)/V23</f>
        <v>16.819721115537849</v>
      </c>
      <c r="W32" s="186">
        <f t="shared" si="47"/>
        <v>25</v>
      </c>
      <c r="X32" s="183">
        <f>(BH23*BH32+BI23*BI32)/X23</f>
        <v>33.724611161939613</v>
      </c>
      <c r="Y32" s="183">
        <f>(BK23*BK32+BL23*BL32+BN23*BN32)/Y23</f>
        <v>43.571428571428569</v>
      </c>
      <c r="Z32" s="186">
        <f t="shared" si="50"/>
        <v>33</v>
      </c>
      <c r="AA32" s="183">
        <f>(BO23*BO32+BQ23*BQ32)/AA23</f>
        <v>32.18549747048904</v>
      </c>
      <c r="AB32" s="187">
        <f t="shared" si="52"/>
        <v>26</v>
      </c>
      <c r="AC32" s="186">
        <f t="shared" si="53"/>
        <v>36</v>
      </c>
      <c r="AD32" s="186">
        <f t="shared" si="54"/>
        <v>28</v>
      </c>
      <c r="AE32" s="183">
        <f>(BS23*BS32+BT23*BT32)/AE23</f>
        <v>32.132778049975499</v>
      </c>
      <c r="AF32" s="186">
        <f t="shared" si="56"/>
        <v>29</v>
      </c>
      <c r="AG32" s="186">
        <f t="shared" si="57"/>
        <v>30</v>
      </c>
      <c r="AH32" s="186">
        <f t="shared" si="58"/>
        <v>45</v>
      </c>
      <c r="AI32" s="186">
        <f t="shared" si="59"/>
        <v>26</v>
      </c>
      <c r="AJ32" s="186">
        <f t="shared" si="60"/>
        <v>26</v>
      </c>
      <c r="AK32" s="187">
        <f t="shared" si="61"/>
        <v>27</v>
      </c>
      <c r="AL32" s="186">
        <f t="shared" si="62"/>
        <v>23</v>
      </c>
      <c r="AM32" s="186">
        <f t="shared" si="63"/>
        <v>49</v>
      </c>
      <c r="AN32" s="186">
        <f t="shared" si="64"/>
        <v>59</v>
      </c>
      <c r="AO32" s="186">
        <f t="shared" si="65"/>
        <v>28</v>
      </c>
      <c r="AP32" s="186">
        <f t="shared" si="66"/>
        <v>24</v>
      </c>
      <c r="AQ32" s="186">
        <f t="shared" si="67"/>
        <v>34</v>
      </c>
      <c r="AR32" s="186">
        <f t="shared" si="68"/>
        <v>48</v>
      </c>
      <c r="AS32" s="184">
        <f>(CF23*CF32+CG23*CG32)/AS23</f>
        <v>41.433234421364986</v>
      </c>
      <c r="AT32" s="186">
        <v>62</v>
      </c>
      <c r="AU32" s="181">
        <v>30</v>
      </c>
      <c r="AV32" s="181">
        <v>35</v>
      </c>
      <c r="AW32" s="181">
        <v>42</v>
      </c>
      <c r="AX32" s="181">
        <v>38</v>
      </c>
      <c r="AY32" s="177">
        <v>35</v>
      </c>
      <c r="AZ32" s="177">
        <v>60</v>
      </c>
      <c r="BA32" s="177">
        <v>39</v>
      </c>
      <c r="BB32" s="177">
        <v>38</v>
      </c>
      <c r="BC32" s="177">
        <v>47</v>
      </c>
      <c r="BD32" s="177">
        <v>34</v>
      </c>
      <c r="BE32" s="177">
        <v>41</v>
      </c>
      <c r="BF32" s="179">
        <v>35</v>
      </c>
      <c r="BG32" s="177">
        <v>16</v>
      </c>
      <c r="BH32" s="177">
        <v>42</v>
      </c>
      <c r="BI32" s="177">
        <v>33</v>
      </c>
      <c r="BJ32" s="177">
        <v>17</v>
      </c>
      <c r="BK32" s="177">
        <v>58</v>
      </c>
      <c r="BL32" s="177">
        <v>63</v>
      </c>
      <c r="BM32" s="177">
        <v>33</v>
      </c>
      <c r="BN32" s="177">
        <v>41</v>
      </c>
      <c r="BO32" s="177">
        <v>50</v>
      </c>
      <c r="BP32" s="177">
        <v>26</v>
      </c>
      <c r="BQ32" s="177">
        <v>31</v>
      </c>
      <c r="BR32" s="179">
        <v>25</v>
      </c>
      <c r="BS32" s="177">
        <v>34</v>
      </c>
      <c r="BT32" s="177">
        <v>32</v>
      </c>
      <c r="BU32" s="177">
        <v>28</v>
      </c>
      <c r="BV32" s="177">
        <v>30</v>
      </c>
      <c r="BW32" s="177">
        <v>26</v>
      </c>
      <c r="BX32" s="177">
        <v>36</v>
      </c>
      <c r="BY32" s="177">
        <v>26</v>
      </c>
      <c r="BZ32" s="177">
        <v>45</v>
      </c>
      <c r="CA32" s="177">
        <v>29</v>
      </c>
      <c r="CB32" s="179">
        <v>27</v>
      </c>
      <c r="CC32" s="177">
        <v>28</v>
      </c>
      <c r="CD32" s="177">
        <v>24</v>
      </c>
      <c r="CE32" s="177">
        <v>23</v>
      </c>
      <c r="CF32" s="177">
        <v>48</v>
      </c>
      <c r="CG32" s="177">
        <v>41</v>
      </c>
      <c r="CH32" s="177">
        <v>49</v>
      </c>
      <c r="CI32" s="177">
        <v>48</v>
      </c>
      <c r="CJ32" s="177">
        <v>59</v>
      </c>
      <c r="CK32" s="178">
        <v>34</v>
      </c>
      <c r="CL32" s="180">
        <v>36</v>
      </c>
    </row>
    <row r="33" spans="1:90">
      <c r="A33" s="93">
        <f>ROWS($A$3:A31)</f>
        <v>29</v>
      </c>
      <c r="B33" s="60" t="s">
        <v>72</v>
      </c>
      <c r="C33" s="323"/>
      <c r="D33" s="332" t="s">
        <v>4</v>
      </c>
      <c r="E33" s="333"/>
      <c r="F33" s="182">
        <f>100-F32</f>
        <v>63</v>
      </c>
      <c r="G33" s="183">
        <f>100-G32</f>
        <v>69</v>
      </c>
      <c r="H33" s="183">
        <f>100-H32</f>
        <v>72</v>
      </c>
      <c r="I33" s="184">
        <f>100-I32</f>
        <v>58</v>
      </c>
      <c r="J33" s="181"/>
      <c r="K33" s="185">
        <f t="shared" si="37"/>
        <v>65</v>
      </c>
      <c r="L33" s="186">
        <f t="shared" si="38"/>
        <v>65</v>
      </c>
      <c r="M33" s="186">
        <f t="shared" si="39"/>
        <v>66</v>
      </c>
      <c r="N33" s="186">
        <f t="shared" si="40"/>
        <v>58</v>
      </c>
      <c r="O33" s="186">
        <f t="shared" si="41"/>
        <v>59</v>
      </c>
      <c r="P33" s="183">
        <f>100-P32</f>
        <v>59.460807600950119</v>
      </c>
      <c r="Q33" s="186">
        <f>'2009'!AU33</f>
        <v>70</v>
      </c>
      <c r="R33" s="183">
        <f>100-R32</f>
        <v>59.010179350460497</v>
      </c>
      <c r="S33" s="186">
        <f t="shared" si="43"/>
        <v>65</v>
      </c>
      <c r="T33" s="186">
        <f t="shared" si="44"/>
        <v>62</v>
      </c>
      <c r="U33" s="187">
        <f t="shared" si="45"/>
        <v>53</v>
      </c>
      <c r="V33" s="183">
        <f>100-V32</f>
        <v>83.180278884462155</v>
      </c>
      <c r="W33" s="186">
        <f t="shared" si="47"/>
        <v>75</v>
      </c>
      <c r="X33" s="183">
        <f>100-X32</f>
        <v>66.275388838060394</v>
      </c>
      <c r="Y33" s="183">
        <f>100-Y32</f>
        <v>56.428571428571431</v>
      </c>
      <c r="Z33" s="186">
        <f t="shared" si="50"/>
        <v>67</v>
      </c>
      <c r="AA33" s="183">
        <f>100-AA32</f>
        <v>67.81450252951096</v>
      </c>
      <c r="AB33" s="187">
        <f t="shared" si="52"/>
        <v>74</v>
      </c>
      <c r="AC33" s="186">
        <f t="shared" si="53"/>
        <v>64</v>
      </c>
      <c r="AD33" s="186">
        <f t="shared" si="54"/>
        <v>72</v>
      </c>
      <c r="AE33" s="183">
        <f>100-AE32</f>
        <v>67.867221950024501</v>
      </c>
      <c r="AF33" s="186">
        <f t="shared" si="56"/>
        <v>71</v>
      </c>
      <c r="AG33" s="186">
        <f t="shared" si="57"/>
        <v>70</v>
      </c>
      <c r="AH33" s="186">
        <f t="shared" si="58"/>
        <v>55</v>
      </c>
      <c r="AI33" s="186">
        <f t="shared" si="59"/>
        <v>74</v>
      </c>
      <c r="AJ33" s="186">
        <f t="shared" si="60"/>
        <v>74</v>
      </c>
      <c r="AK33" s="187">
        <f t="shared" si="61"/>
        <v>73</v>
      </c>
      <c r="AL33" s="186">
        <f t="shared" si="62"/>
        <v>77</v>
      </c>
      <c r="AM33" s="186">
        <f t="shared" si="63"/>
        <v>51</v>
      </c>
      <c r="AN33" s="186">
        <f t="shared" si="64"/>
        <v>41</v>
      </c>
      <c r="AO33" s="186">
        <f t="shared" si="65"/>
        <v>72</v>
      </c>
      <c r="AP33" s="186">
        <f t="shared" si="66"/>
        <v>76</v>
      </c>
      <c r="AQ33" s="186">
        <f t="shared" si="67"/>
        <v>66</v>
      </c>
      <c r="AR33" s="186">
        <f t="shared" si="68"/>
        <v>52</v>
      </c>
      <c r="AS33" s="184">
        <f t="shared" ref="AS33:CL33" si="71">100-AS32</f>
        <v>58.566765578635014</v>
      </c>
      <c r="AT33" s="183">
        <f t="shared" si="71"/>
        <v>38</v>
      </c>
      <c r="AU33" s="183">
        <f t="shared" si="71"/>
        <v>70</v>
      </c>
      <c r="AV33" s="183">
        <f t="shared" si="71"/>
        <v>65</v>
      </c>
      <c r="AW33" s="183">
        <f t="shared" si="71"/>
        <v>58</v>
      </c>
      <c r="AX33" s="183">
        <f t="shared" si="71"/>
        <v>62</v>
      </c>
      <c r="AY33" s="183">
        <f t="shared" si="71"/>
        <v>65</v>
      </c>
      <c r="AZ33" s="183">
        <f t="shared" si="71"/>
        <v>40</v>
      </c>
      <c r="BA33" s="183">
        <f t="shared" si="71"/>
        <v>61</v>
      </c>
      <c r="BB33" s="183">
        <f t="shared" si="71"/>
        <v>62</v>
      </c>
      <c r="BC33" s="183">
        <f t="shared" si="71"/>
        <v>53</v>
      </c>
      <c r="BD33" s="183">
        <f t="shared" si="71"/>
        <v>66</v>
      </c>
      <c r="BE33" s="183">
        <f t="shared" si="71"/>
        <v>59</v>
      </c>
      <c r="BF33" s="188">
        <f t="shared" si="71"/>
        <v>65</v>
      </c>
      <c r="BG33" s="183">
        <f t="shared" si="71"/>
        <v>84</v>
      </c>
      <c r="BH33" s="183">
        <f t="shared" si="71"/>
        <v>58</v>
      </c>
      <c r="BI33" s="183">
        <f t="shared" si="71"/>
        <v>67</v>
      </c>
      <c r="BJ33" s="183">
        <f t="shared" si="71"/>
        <v>83</v>
      </c>
      <c r="BK33" s="183">
        <f t="shared" si="71"/>
        <v>42</v>
      </c>
      <c r="BL33" s="183">
        <f t="shared" si="71"/>
        <v>37</v>
      </c>
      <c r="BM33" s="183">
        <f t="shared" si="71"/>
        <v>67</v>
      </c>
      <c r="BN33" s="183">
        <f t="shared" si="71"/>
        <v>59</v>
      </c>
      <c r="BO33" s="183">
        <f t="shared" si="71"/>
        <v>50</v>
      </c>
      <c r="BP33" s="183">
        <f t="shared" si="71"/>
        <v>74</v>
      </c>
      <c r="BQ33" s="183">
        <f t="shared" si="71"/>
        <v>69</v>
      </c>
      <c r="BR33" s="188">
        <f t="shared" si="71"/>
        <v>75</v>
      </c>
      <c r="BS33" s="183">
        <f t="shared" si="71"/>
        <v>66</v>
      </c>
      <c r="BT33" s="183">
        <f t="shared" si="71"/>
        <v>68</v>
      </c>
      <c r="BU33" s="183">
        <f t="shared" si="71"/>
        <v>72</v>
      </c>
      <c r="BV33" s="183">
        <f t="shared" si="71"/>
        <v>70</v>
      </c>
      <c r="BW33" s="183">
        <f t="shared" si="71"/>
        <v>74</v>
      </c>
      <c r="BX33" s="183">
        <f t="shared" si="71"/>
        <v>64</v>
      </c>
      <c r="BY33" s="183">
        <f t="shared" si="71"/>
        <v>74</v>
      </c>
      <c r="BZ33" s="183">
        <f t="shared" si="71"/>
        <v>55</v>
      </c>
      <c r="CA33" s="183">
        <f t="shared" si="71"/>
        <v>71</v>
      </c>
      <c r="CB33" s="188">
        <f t="shared" si="71"/>
        <v>73</v>
      </c>
      <c r="CC33" s="183">
        <f t="shared" si="71"/>
        <v>72</v>
      </c>
      <c r="CD33" s="183">
        <f t="shared" si="71"/>
        <v>76</v>
      </c>
      <c r="CE33" s="183">
        <f t="shared" si="71"/>
        <v>77</v>
      </c>
      <c r="CF33" s="183">
        <f t="shared" si="71"/>
        <v>52</v>
      </c>
      <c r="CG33" s="183">
        <f t="shared" si="71"/>
        <v>59</v>
      </c>
      <c r="CH33" s="183">
        <f t="shared" si="71"/>
        <v>51</v>
      </c>
      <c r="CI33" s="183">
        <f t="shared" si="71"/>
        <v>52</v>
      </c>
      <c r="CJ33" s="183">
        <f t="shared" si="71"/>
        <v>41</v>
      </c>
      <c r="CK33" s="184">
        <f t="shared" si="71"/>
        <v>66</v>
      </c>
      <c r="CL33" s="189">
        <f t="shared" si="71"/>
        <v>64</v>
      </c>
    </row>
    <row r="34" spans="1:90">
      <c r="A34" s="93">
        <f>ROWS($A$3:A32)</f>
        <v>30</v>
      </c>
      <c r="B34" s="67" t="s">
        <v>73</v>
      </c>
      <c r="C34" s="241"/>
      <c r="D34" s="332"/>
      <c r="E34" s="333"/>
      <c r="F34" s="156"/>
      <c r="G34" s="177"/>
      <c r="H34" s="177"/>
      <c r="I34" s="178"/>
      <c r="J34" s="181"/>
      <c r="K34" s="156"/>
      <c r="L34" s="177"/>
      <c r="M34" s="177"/>
      <c r="N34" s="177"/>
      <c r="O34" s="177"/>
      <c r="P34" s="177"/>
      <c r="Q34" s="177"/>
      <c r="R34" s="177"/>
      <c r="S34" s="177"/>
      <c r="T34" s="177"/>
      <c r="U34" s="179"/>
      <c r="V34" s="177"/>
      <c r="W34" s="177"/>
      <c r="X34" s="177"/>
      <c r="Y34" s="177"/>
      <c r="Z34" s="177"/>
      <c r="AA34" s="177"/>
      <c r="AB34" s="179"/>
      <c r="AC34" s="177"/>
      <c r="AD34" s="177"/>
      <c r="AE34" s="177"/>
      <c r="AF34" s="177"/>
      <c r="AG34" s="177"/>
      <c r="AH34" s="177"/>
      <c r="AI34" s="177"/>
      <c r="AJ34" s="177"/>
      <c r="AK34" s="179"/>
      <c r="AL34" s="177"/>
      <c r="AM34" s="177"/>
      <c r="AN34" s="177"/>
      <c r="AO34" s="177"/>
      <c r="AP34" s="177"/>
      <c r="AQ34" s="177"/>
      <c r="AR34" s="177"/>
      <c r="AS34" s="178"/>
      <c r="AT34" s="177"/>
      <c r="AU34" s="177"/>
      <c r="AV34" s="177"/>
      <c r="AW34" s="177"/>
      <c r="AX34" s="177"/>
      <c r="AY34" s="177"/>
      <c r="AZ34" s="177"/>
      <c r="BA34" s="177"/>
      <c r="BB34" s="177"/>
      <c r="BC34" s="177"/>
      <c r="BD34" s="177"/>
      <c r="BE34" s="177"/>
      <c r="BF34" s="179"/>
      <c r="BG34" s="177"/>
      <c r="BH34" s="177"/>
      <c r="BI34" s="177"/>
      <c r="BJ34" s="177"/>
      <c r="BK34" s="177"/>
      <c r="BL34" s="177"/>
      <c r="BM34" s="177"/>
      <c r="BN34" s="177"/>
      <c r="BO34" s="177"/>
      <c r="BP34" s="177"/>
      <c r="BQ34" s="177"/>
      <c r="BR34" s="179"/>
      <c r="BS34" s="177"/>
      <c r="BT34" s="177"/>
      <c r="BU34" s="177"/>
      <c r="BV34" s="177"/>
      <c r="BW34" s="177"/>
      <c r="BX34" s="177"/>
      <c r="BY34" s="177"/>
      <c r="BZ34" s="177"/>
      <c r="CA34" s="177"/>
      <c r="CB34" s="179"/>
      <c r="CC34" s="177"/>
      <c r="CD34" s="177"/>
      <c r="CE34" s="177"/>
      <c r="CF34" s="177"/>
      <c r="CG34" s="177"/>
      <c r="CH34" s="177"/>
      <c r="CI34" s="177"/>
      <c r="CJ34" s="177"/>
      <c r="CK34" s="178"/>
      <c r="CL34" s="180"/>
    </row>
    <row r="35" spans="1:90">
      <c r="A35" s="93">
        <f>ROWS($A$3:A33)</f>
        <v>31</v>
      </c>
      <c r="B35" s="106" t="s">
        <v>75</v>
      </c>
      <c r="C35" s="242">
        <v>2007</v>
      </c>
      <c r="D35" s="314" t="s">
        <v>1</v>
      </c>
      <c r="E35" s="316">
        <v>40652</v>
      </c>
      <c r="F35" s="156">
        <v>472458</v>
      </c>
      <c r="G35" s="177">
        <v>203805</v>
      </c>
      <c r="H35" s="177">
        <v>327298</v>
      </c>
      <c r="I35" s="178">
        <v>432124</v>
      </c>
      <c r="J35" s="181"/>
      <c r="K35" s="156">
        <f>BF35</f>
        <v>66103</v>
      </c>
      <c r="L35" s="177">
        <f>AY35</f>
        <v>26231</v>
      </c>
      <c r="M35" s="177">
        <f>BD35</f>
        <v>69254</v>
      </c>
      <c r="N35" s="177">
        <f>AW35</f>
        <v>28454</v>
      </c>
      <c r="O35" s="177">
        <f>BE35</f>
        <v>26360</v>
      </c>
      <c r="P35" s="177">
        <f>'2009'!AZ35+'2009'!BA35</f>
        <v>58983</v>
      </c>
      <c r="Q35" s="177">
        <f>'2009'!AU35</f>
        <v>22578</v>
      </c>
      <c r="R35" s="177">
        <f>AT35+AX35</f>
        <v>35087</v>
      </c>
      <c r="S35" s="177">
        <f>AV35</f>
        <v>19929</v>
      </c>
      <c r="T35" s="177">
        <f t="shared" ref="T35:U39" si="72">BB35</f>
        <v>41956</v>
      </c>
      <c r="U35" s="179">
        <f t="shared" si="72"/>
        <v>77523</v>
      </c>
      <c r="V35" s="177">
        <f>BG35+BJ35</f>
        <v>16620</v>
      </c>
      <c r="W35" s="177">
        <f>BR35</f>
        <v>19529</v>
      </c>
      <c r="X35" s="177">
        <f>BH35+BI35</f>
        <v>40032</v>
      </c>
      <c r="Y35" s="177">
        <f>BK35+BL35+BN35</f>
        <v>43078</v>
      </c>
      <c r="Z35" s="177">
        <f>BM35</f>
        <v>46854</v>
      </c>
      <c r="AA35" s="177">
        <f>BO35+BQ35</f>
        <v>20148</v>
      </c>
      <c r="AB35" s="179">
        <f>BP35</f>
        <v>17544</v>
      </c>
      <c r="AC35" s="177">
        <f>BX35</f>
        <v>39470</v>
      </c>
      <c r="AD35" s="177">
        <f>BU35</f>
        <v>22931</v>
      </c>
      <c r="AE35" s="177">
        <f>BS35+BT35</f>
        <v>53336</v>
      </c>
      <c r="AF35" s="177">
        <f>CA35</f>
        <v>23906</v>
      </c>
      <c r="AG35" s="177">
        <f>BV35</f>
        <v>58801</v>
      </c>
      <c r="AH35" s="177">
        <f>BZ35</f>
        <v>34508</v>
      </c>
      <c r="AI35" s="177">
        <f>BW35</f>
        <v>30854</v>
      </c>
      <c r="AJ35" s="177">
        <f>BY35</f>
        <v>24325</v>
      </c>
      <c r="AK35" s="179">
        <f>CB35</f>
        <v>39167</v>
      </c>
      <c r="AL35" s="177">
        <f>CE35</f>
        <v>34109</v>
      </c>
      <c r="AM35" s="177">
        <f>CH35</f>
        <v>77582</v>
      </c>
      <c r="AN35" s="177">
        <f>CJ35</f>
        <v>87784</v>
      </c>
      <c r="AO35" s="177">
        <f t="shared" ref="AO35:AP39" si="73">CC35</f>
        <v>43348</v>
      </c>
      <c r="AP35" s="177">
        <f t="shared" si="73"/>
        <v>19868</v>
      </c>
      <c r="AQ35" s="177">
        <f>CK35</f>
        <v>55181</v>
      </c>
      <c r="AR35" s="177">
        <f>CI35</f>
        <v>34059</v>
      </c>
      <c r="AS35" s="178">
        <f>CF35+CG35</f>
        <v>80193</v>
      </c>
      <c r="AT35" s="177">
        <v>2542</v>
      </c>
      <c r="AU35" s="177">
        <v>22578</v>
      </c>
      <c r="AV35" s="177">
        <v>19929</v>
      </c>
      <c r="AW35" s="181">
        <v>28454</v>
      </c>
      <c r="AX35" s="177">
        <v>32545</v>
      </c>
      <c r="AY35" s="177">
        <v>26231</v>
      </c>
      <c r="AZ35" s="177">
        <v>4181</v>
      </c>
      <c r="BA35" s="177">
        <v>54802</v>
      </c>
      <c r="BB35" s="177">
        <v>41956</v>
      </c>
      <c r="BC35" s="177">
        <v>77523</v>
      </c>
      <c r="BD35" s="177">
        <v>69254</v>
      </c>
      <c r="BE35" s="177">
        <v>26360</v>
      </c>
      <c r="BF35" s="179">
        <v>66103</v>
      </c>
      <c r="BG35" s="177">
        <v>1745</v>
      </c>
      <c r="BH35" s="177">
        <v>2635</v>
      </c>
      <c r="BI35" s="177">
        <v>37397</v>
      </c>
      <c r="BJ35" s="177">
        <v>14875</v>
      </c>
      <c r="BK35" s="177">
        <v>1838</v>
      </c>
      <c r="BL35" s="177">
        <v>2756</v>
      </c>
      <c r="BM35" s="177">
        <v>46854</v>
      </c>
      <c r="BN35" s="177">
        <v>38484</v>
      </c>
      <c r="BO35" s="177">
        <v>991</v>
      </c>
      <c r="BP35" s="177">
        <v>17544</v>
      </c>
      <c r="BQ35" s="177">
        <v>19157</v>
      </c>
      <c r="BR35" s="179">
        <v>19529</v>
      </c>
      <c r="BS35" s="177">
        <v>3566</v>
      </c>
      <c r="BT35" s="177">
        <v>49770</v>
      </c>
      <c r="BU35" s="177">
        <v>22931</v>
      </c>
      <c r="BV35" s="177">
        <v>58801</v>
      </c>
      <c r="BW35" s="177">
        <v>30854</v>
      </c>
      <c r="BX35" s="177">
        <v>39470</v>
      </c>
      <c r="BY35" s="177">
        <v>24325</v>
      </c>
      <c r="BZ35" s="177">
        <v>34508</v>
      </c>
      <c r="CA35" s="177">
        <v>23906</v>
      </c>
      <c r="CB35" s="179">
        <v>39167</v>
      </c>
      <c r="CC35" s="177">
        <v>43348</v>
      </c>
      <c r="CD35" s="177">
        <v>19868</v>
      </c>
      <c r="CE35" s="177">
        <v>34109</v>
      </c>
      <c r="CF35" s="177">
        <v>4780</v>
      </c>
      <c r="CG35" s="177">
        <v>75413</v>
      </c>
      <c r="CH35" s="177">
        <v>77582</v>
      </c>
      <c r="CI35" s="177">
        <v>34059</v>
      </c>
      <c r="CJ35" s="177">
        <v>87784</v>
      </c>
      <c r="CK35" s="178">
        <v>55181</v>
      </c>
      <c r="CL35" s="180">
        <v>1435682</v>
      </c>
    </row>
    <row r="36" spans="1:90">
      <c r="A36" s="93">
        <f>ROWS($A$3:A34)</f>
        <v>32</v>
      </c>
      <c r="B36" s="106" t="s">
        <v>76</v>
      </c>
      <c r="C36" s="243"/>
      <c r="D36" s="314" t="s">
        <v>1</v>
      </c>
      <c r="E36" s="316">
        <v>40652</v>
      </c>
      <c r="F36" s="156">
        <v>314753</v>
      </c>
      <c r="G36" s="177">
        <v>142086</v>
      </c>
      <c r="H36" s="177">
        <v>144079</v>
      </c>
      <c r="I36" s="178">
        <v>233617</v>
      </c>
      <c r="J36" s="181"/>
      <c r="K36" s="156">
        <f>BF36</f>
        <v>34747</v>
      </c>
      <c r="L36" s="177">
        <f>AY36</f>
        <v>11937</v>
      </c>
      <c r="M36" s="177">
        <f>BD36</f>
        <v>60037</v>
      </c>
      <c r="N36" s="177">
        <f>AW36</f>
        <v>12710</v>
      </c>
      <c r="O36" s="177">
        <f>BE36</f>
        <v>16952</v>
      </c>
      <c r="P36" s="177">
        <f>'2009'!AZ36+'2009'!BA36</f>
        <v>44854</v>
      </c>
      <c r="Q36" s="177">
        <f>'2009'!AU36</f>
        <v>15628</v>
      </c>
      <c r="R36" s="177">
        <f>AT36+AX36</f>
        <v>26155</v>
      </c>
      <c r="S36" s="177">
        <f>AV36</f>
        <v>10216</v>
      </c>
      <c r="T36" s="177">
        <f t="shared" si="72"/>
        <v>30934</v>
      </c>
      <c r="U36" s="179">
        <f t="shared" si="72"/>
        <v>50583</v>
      </c>
      <c r="V36" s="177">
        <f>BG36+BJ36</f>
        <v>10522</v>
      </c>
      <c r="W36" s="177">
        <f>BR36</f>
        <v>9607</v>
      </c>
      <c r="X36" s="177">
        <f>BH36+BI36</f>
        <v>31786</v>
      </c>
      <c r="Y36" s="177">
        <f>BK36+BL36+BN36</f>
        <v>34032</v>
      </c>
      <c r="Z36" s="177">
        <f>BM36</f>
        <v>35126</v>
      </c>
      <c r="AA36" s="177">
        <f>BO36+BQ36</f>
        <v>12405</v>
      </c>
      <c r="AB36" s="179">
        <f>BP36</f>
        <v>8608</v>
      </c>
      <c r="AC36" s="177">
        <f>BX36</f>
        <v>15635</v>
      </c>
      <c r="AD36" s="177">
        <f>BU36</f>
        <v>10322</v>
      </c>
      <c r="AE36" s="177">
        <f>BS36+BT36</f>
        <v>21260</v>
      </c>
      <c r="AF36" s="177">
        <f>CA36</f>
        <v>7458</v>
      </c>
      <c r="AG36" s="177">
        <f>BV36</f>
        <v>28247</v>
      </c>
      <c r="AH36" s="177">
        <f>BZ36</f>
        <v>19618</v>
      </c>
      <c r="AI36" s="177">
        <f>BW36</f>
        <v>16995</v>
      </c>
      <c r="AJ36" s="177">
        <f>BY36</f>
        <v>9013</v>
      </c>
      <c r="AK36" s="179">
        <f>CB36</f>
        <v>15531</v>
      </c>
      <c r="AL36" s="177">
        <f>CE36</f>
        <v>13452</v>
      </c>
      <c r="AM36" s="177">
        <f>CH36</f>
        <v>51712</v>
      </c>
      <c r="AN36" s="177">
        <f>CJ36</f>
        <v>25547</v>
      </c>
      <c r="AO36" s="177">
        <f t="shared" si="73"/>
        <v>20487</v>
      </c>
      <c r="AP36" s="177">
        <f t="shared" si="73"/>
        <v>13585</v>
      </c>
      <c r="AQ36" s="177">
        <f>CK36</f>
        <v>34998</v>
      </c>
      <c r="AR36" s="177">
        <f>CI36</f>
        <v>13793</v>
      </c>
      <c r="AS36" s="178">
        <f>CF36+CG36</f>
        <v>60043</v>
      </c>
      <c r="AT36" s="177">
        <v>1538</v>
      </c>
      <c r="AU36" s="181">
        <v>15628</v>
      </c>
      <c r="AV36" s="181">
        <v>10216</v>
      </c>
      <c r="AW36" s="181">
        <v>12710</v>
      </c>
      <c r="AX36" s="181">
        <v>24617</v>
      </c>
      <c r="AY36" s="177">
        <v>11937</v>
      </c>
      <c r="AZ36" s="177">
        <v>3237</v>
      </c>
      <c r="BA36" s="177">
        <v>41617</v>
      </c>
      <c r="BB36" s="177">
        <v>30934</v>
      </c>
      <c r="BC36" s="177">
        <v>50583</v>
      </c>
      <c r="BD36" s="177">
        <v>60037</v>
      </c>
      <c r="BE36" s="177">
        <v>16952</v>
      </c>
      <c r="BF36" s="179">
        <v>34747</v>
      </c>
      <c r="BG36" s="177">
        <v>616</v>
      </c>
      <c r="BH36" s="177">
        <v>2065</v>
      </c>
      <c r="BI36" s="177">
        <v>29721</v>
      </c>
      <c r="BJ36" s="177">
        <v>9906</v>
      </c>
      <c r="BK36" s="177">
        <v>1524</v>
      </c>
      <c r="BL36" s="177">
        <v>2382</v>
      </c>
      <c r="BM36" s="177">
        <v>35126</v>
      </c>
      <c r="BN36" s="177">
        <v>30126</v>
      </c>
      <c r="BO36" s="177">
        <v>497</v>
      </c>
      <c r="BP36" s="177">
        <v>8608</v>
      </c>
      <c r="BQ36" s="177">
        <v>11908</v>
      </c>
      <c r="BR36" s="179">
        <v>9607</v>
      </c>
      <c r="BS36" s="177">
        <v>1630</v>
      </c>
      <c r="BT36" s="177">
        <v>19630</v>
      </c>
      <c r="BU36" s="177">
        <v>10322</v>
      </c>
      <c r="BV36" s="177">
        <v>28247</v>
      </c>
      <c r="BW36" s="177">
        <v>16995</v>
      </c>
      <c r="BX36" s="177">
        <v>15635</v>
      </c>
      <c r="BY36" s="177">
        <v>9013</v>
      </c>
      <c r="BZ36" s="177">
        <v>19618</v>
      </c>
      <c r="CA36" s="177">
        <v>7458</v>
      </c>
      <c r="CB36" s="179">
        <v>15531</v>
      </c>
      <c r="CC36" s="177">
        <v>20487</v>
      </c>
      <c r="CD36" s="177">
        <v>13585</v>
      </c>
      <c r="CE36" s="177">
        <v>13452</v>
      </c>
      <c r="CF36" s="177">
        <v>4083</v>
      </c>
      <c r="CG36" s="177">
        <v>55960</v>
      </c>
      <c r="CH36" s="177">
        <v>51712</v>
      </c>
      <c r="CI36" s="177">
        <v>13793</v>
      </c>
      <c r="CJ36" s="177">
        <v>25547</v>
      </c>
      <c r="CK36" s="178">
        <v>34998</v>
      </c>
      <c r="CL36" s="180">
        <v>834535</v>
      </c>
    </row>
    <row r="37" spans="1:90">
      <c r="A37" s="93">
        <f>ROWS($A$3:A35)</f>
        <v>33</v>
      </c>
      <c r="B37" s="106" t="s">
        <v>7</v>
      </c>
      <c r="C37" s="243"/>
      <c r="D37" s="314" t="s">
        <v>1</v>
      </c>
      <c r="E37" s="316">
        <v>40652</v>
      </c>
      <c r="F37" s="156">
        <v>142250</v>
      </c>
      <c r="G37" s="177">
        <v>57320</v>
      </c>
      <c r="H37" s="177">
        <v>163299</v>
      </c>
      <c r="I37" s="178">
        <v>188526</v>
      </c>
      <c r="J37" s="181"/>
      <c r="K37" s="156">
        <f>BF37</f>
        <v>30937</v>
      </c>
      <c r="L37" s="177">
        <f>AY37</f>
        <v>12581</v>
      </c>
      <c r="M37" s="177">
        <f>BD37</f>
        <v>8233</v>
      </c>
      <c r="N37" s="177">
        <f>AW37</f>
        <v>15586</v>
      </c>
      <c r="O37" s="177">
        <f>BE37</f>
        <v>9380</v>
      </c>
      <c r="P37" s="177">
        <f>'2009'!AZ37+'2009'!BA37</f>
        <v>7091</v>
      </c>
      <c r="Q37" s="177">
        <f>'2009'!AU37</f>
        <v>6801</v>
      </c>
      <c r="R37" s="177">
        <f>AT37+AX37</f>
        <v>6194</v>
      </c>
      <c r="S37" s="177">
        <f>AV37</f>
        <v>9319</v>
      </c>
      <c r="T37" s="177">
        <f t="shared" si="72"/>
        <v>9393</v>
      </c>
      <c r="U37" s="179">
        <f t="shared" si="72"/>
        <v>26735</v>
      </c>
      <c r="V37" s="177">
        <f>BG37+BJ37</f>
        <v>4915</v>
      </c>
      <c r="W37" s="177">
        <f>BR37</f>
        <v>9893</v>
      </c>
      <c r="X37" s="177">
        <f>BH37+BI37</f>
        <v>7208</v>
      </c>
      <c r="Y37" s="177">
        <f>BK37+BL37+BN37</f>
        <v>7791</v>
      </c>
      <c r="Z37" s="177">
        <f>BM37</f>
        <v>11151</v>
      </c>
      <c r="AA37" s="177">
        <f>BO37+BQ37</f>
        <v>7491</v>
      </c>
      <c r="AB37" s="179">
        <f>BP37</f>
        <v>8871</v>
      </c>
      <c r="AC37" s="177">
        <f>BX37</f>
        <v>23796</v>
      </c>
      <c r="AD37" s="177">
        <f>BU37</f>
        <v>10031</v>
      </c>
      <c r="AE37" s="177">
        <f>BS37+BT37</f>
        <v>25230</v>
      </c>
      <c r="AF37" s="177">
        <f>CA37</f>
        <v>14975</v>
      </c>
      <c r="AG37" s="177">
        <f>BV37</f>
        <v>23031</v>
      </c>
      <c r="AH37" s="177">
        <f>BZ37</f>
        <v>13778</v>
      </c>
      <c r="AI37" s="177">
        <f>BW37</f>
        <v>13818</v>
      </c>
      <c r="AJ37" s="177">
        <f>BY37</f>
        <v>15288</v>
      </c>
      <c r="AK37" s="179">
        <f>CB37</f>
        <v>23352</v>
      </c>
      <c r="AL37" s="177">
        <f>CE37</f>
        <v>20487</v>
      </c>
      <c r="AM37" s="177">
        <f>CH37</f>
        <v>25695</v>
      </c>
      <c r="AN37" s="177">
        <f>CJ37</f>
        <v>60769</v>
      </c>
      <c r="AO37" s="177">
        <f t="shared" si="73"/>
        <v>22679</v>
      </c>
      <c r="AP37" s="177">
        <f t="shared" si="73"/>
        <v>6198</v>
      </c>
      <c r="AQ37" s="177">
        <f>CK37</f>
        <v>20091</v>
      </c>
      <c r="AR37" s="177">
        <f>CI37</f>
        <v>12616</v>
      </c>
      <c r="AS37" s="178">
        <f>CF37+CG37</f>
        <v>19991</v>
      </c>
      <c r="AT37" s="181">
        <v>540</v>
      </c>
      <c r="AU37" s="181">
        <v>6801</v>
      </c>
      <c r="AV37" s="181">
        <v>9319</v>
      </c>
      <c r="AW37" s="181">
        <v>15586</v>
      </c>
      <c r="AX37" s="181">
        <v>5654</v>
      </c>
      <c r="AY37" s="177">
        <v>12581</v>
      </c>
      <c r="AZ37" s="177">
        <v>217</v>
      </c>
      <c r="BA37" s="177">
        <v>6874</v>
      </c>
      <c r="BB37" s="177">
        <v>9393</v>
      </c>
      <c r="BC37" s="177">
        <v>26735</v>
      </c>
      <c r="BD37" s="177">
        <v>8233</v>
      </c>
      <c r="BE37" s="177">
        <v>9380</v>
      </c>
      <c r="BF37" s="179">
        <v>30937</v>
      </c>
      <c r="BG37" s="177">
        <v>828</v>
      </c>
      <c r="BH37" s="177">
        <v>497</v>
      </c>
      <c r="BI37" s="177">
        <v>6711</v>
      </c>
      <c r="BJ37" s="177">
        <v>4087</v>
      </c>
      <c r="BK37" s="177">
        <v>230</v>
      </c>
      <c r="BL37" s="177">
        <v>363</v>
      </c>
      <c r="BM37" s="177">
        <v>11151</v>
      </c>
      <c r="BN37" s="177">
        <v>7198</v>
      </c>
      <c r="BO37" s="177">
        <v>493</v>
      </c>
      <c r="BP37" s="177">
        <v>8871</v>
      </c>
      <c r="BQ37" s="177">
        <v>6998</v>
      </c>
      <c r="BR37" s="179">
        <v>9893</v>
      </c>
      <c r="BS37" s="177">
        <v>1108</v>
      </c>
      <c r="BT37" s="177">
        <v>24122</v>
      </c>
      <c r="BU37" s="177">
        <v>10031</v>
      </c>
      <c r="BV37" s="177">
        <v>23031</v>
      </c>
      <c r="BW37" s="177">
        <v>13818</v>
      </c>
      <c r="BX37" s="177">
        <v>23796</v>
      </c>
      <c r="BY37" s="177">
        <v>15288</v>
      </c>
      <c r="BZ37" s="177">
        <v>13778</v>
      </c>
      <c r="CA37" s="177">
        <v>14975</v>
      </c>
      <c r="CB37" s="179">
        <v>23352</v>
      </c>
      <c r="CC37" s="177">
        <v>22679</v>
      </c>
      <c r="CD37" s="177">
        <v>6198</v>
      </c>
      <c r="CE37" s="177">
        <v>20487</v>
      </c>
      <c r="CF37" s="177">
        <v>674</v>
      </c>
      <c r="CG37" s="177">
        <v>19317</v>
      </c>
      <c r="CH37" s="177">
        <v>25695</v>
      </c>
      <c r="CI37" s="177">
        <v>12616</v>
      </c>
      <c r="CJ37" s="177">
        <v>60769</v>
      </c>
      <c r="CK37" s="178">
        <v>20091</v>
      </c>
      <c r="CL37" s="180">
        <v>551397</v>
      </c>
    </row>
    <row r="38" spans="1:90">
      <c r="A38" s="93">
        <f>ROWS($A$3:A36)</f>
        <v>34</v>
      </c>
      <c r="B38" s="106" t="s">
        <v>263</v>
      </c>
      <c r="C38" s="243"/>
      <c r="D38" s="314" t="s">
        <v>1</v>
      </c>
      <c r="E38" s="316">
        <v>40652</v>
      </c>
      <c r="F38" s="156">
        <v>3377</v>
      </c>
      <c r="G38" s="177">
        <v>1335</v>
      </c>
      <c r="H38" s="177">
        <v>7922</v>
      </c>
      <c r="I38" s="178">
        <v>8701</v>
      </c>
      <c r="J38" s="181"/>
      <c r="K38" s="156">
        <f>BF38</f>
        <v>18</v>
      </c>
      <c r="L38" s="177">
        <f>AY38</f>
        <v>524</v>
      </c>
      <c r="M38" s="177">
        <f>BD38</f>
        <v>86</v>
      </c>
      <c r="N38" s="177">
        <f>AW38</f>
        <v>100</v>
      </c>
      <c r="O38" s="177">
        <f>BE38</f>
        <v>2</v>
      </c>
      <c r="P38" s="177">
        <f>'2009'!AZ38+'2009'!BA38</f>
        <v>1022</v>
      </c>
      <c r="Q38" s="177">
        <f>'2009'!AU38</f>
        <v>96</v>
      </c>
      <c r="R38" s="177">
        <f>AT38+AX38</f>
        <v>501</v>
      </c>
      <c r="S38" s="177">
        <f>AV38</f>
        <v>167</v>
      </c>
      <c r="T38" s="177">
        <f t="shared" si="72"/>
        <v>738</v>
      </c>
      <c r="U38" s="179">
        <f t="shared" si="72"/>
        <v>123</v>
      </c>
      <c r="V38" s="177">
        <f>BG38+BJ38</f>
        <v>507</v>
      </c>
      <c r="W38" s="177">
        <f>BR38</f>
        <v>2</v>
      </c>
      <c r="X38" s="177">
        <f>BH38+BI38</f>
        <v>249</v>
      </c>
      <c r="Y38" s="177">
        <f>BK38+BN38</f>
        <v>424</v>
      </c>
      <c r="Z38" s="177">
        <f>BM38</f>
        <v>121</v>
      </c>
      <c r="AA38" s="177">
        <f>BQ38</f>
        <v>30</v>
      </c>
      <c r="AB38" s="179">
        <f>BP38</f>
        <v>2</v>
      </c>
      <c r="AC38" s="177">
        <f>BX38</f>
        <v>17</v>
      </c>
      <c r="AD38" s="177">
        <f>BU38</f>
        <v>668</v>
      </c>
      <c r="AE38" s="177">
        <f>BS38+BT38</f>
        <v>942</v>
      </c>
      <c r="AF38" s="177">
        <f>CA38</f>
        <v>675</v>
      </c>
      <c r="AG38" s="177">
        <f>BV38</f>
        <v>4487</v>
      </c>
      <c r="AH38" s="177">
        <f>BZ38</f>
        <v>960</v>
      </c>
      <c r="AI38" s="177">
        <f>BW38</f>
        <v>12</v>
      </c>
      <c r="AJ38" s="177">
        <f>BY38</f>
        <v>1</v>
      </c>
      <c r="AK38" s="179">
        <f>CB38</f>
        <v>160</v>
      </c>
      <c r="AL38" s="177">
        <f>CE38</f>
        <v>24</v>
      </c>
      <c r="AM38" s="177">
        <f>CH38</f>
        <v>43</v>
      </c>
      <c r="AN38" s="177">
        <f>CJ38</f>
        <v>1312</v>
      </c>
      <c r="AO38" s="177">
        <f t="shared" si="73"/>
        <v>88</v>
      </c>
      <c r="AP38" s="177">
        <f t="shared" si="73"/>
        <v>63</v>
      </c>
      <c r="AQ38" s="177">
        <f>CK38</f>
        <v>34</v>
      </c>
      <c r="AR38" s="177">
        <f>CI38</f>
        <v>7070</v>
      </c>
      <c r="AS38" s="178">
        <f>CF38+CG38</f>
        <v>67</v>
      </c>
      <c r="AT38" s="181">
        <v>71</v>
      </c>
      <c r="AU38" s="181">
        <v>96</v>
      </c>
      <c r="AV38" s="181">
        <v>167</v>
      </c>
      <c r="AW38" s="181">
        <v>100</v>
      </c>
      <c r="AX38" s="181">
        <v>430</v>
      </c>
      <c r="AY38" s="177">
        <v>524</v>
      </c>
      <c r="AZ38" s="177">
        <v>53</v>
      </c>
      <c r="BA38" s="177">
        <v>969</v>
      </c>
      <c r="BB38" s="177">
        <v>738</v>
      </c>
      <c r="BC38" s="177">
        <v>123</v>
      </c>
      <c r="BD38" s="177">
        <v>86</v>
      </c>
      <c r="BE38" s="177">
        <v>2</v>
      </c>
      <c r="BF38" s="179">
        <v>18</v>
      </c>
      <c r="BG38" s="177">
        <v>45</v>
      </c>
      <c r="BH38" s="177">
        <v>46</v>
      </c>
      <c r="BI38" s="177">
        <v>203</v>
      </c>
      <c r="BJ38" s="177">
        <v>462</v>
      </c>
      <c r="BK38" s="177">
        <v>23</v>
      </c>
      <c r="BL38" s="177" t="s">
        <v>252</v>
      </c>
      <c r="BM38" s="177">
        <v>121</v>
      </c>
      <c r="BN38" s="177">
        <v>401</v>
      </c>
      <c r="BO38" s="177" t="s">
        <v>252</v>
      </c>
      <c r="BP38" s="177">
        <v>2</v>
      </c>
      <c r="BQ38" s="177">
        <v>30</v>
      </c>
      <c r="BR38" s="179">
        <v>2</v>
      </c>
      <c r="BS38" s="177">
        <v>92</v>
      </c>
      <c r="BT38" s="177">
        <v>850</v>
      </c>
      <c r="BU38" s="177">
        <v>668</v>
      </c>
      <c r="BV38" s="177">
        <v>4487</v>
      </c>
      <c r="BW38" s="177">
        <v>12</v>
      </c>
      <c r="BX38" s="177">
        <v>17</v>
      </c>
      <c r="BY38" s="177">
        <v>1</v>
      </c>
      <c r="BZ38" s="177">
        <v>960</v>
      </c>
      <c r="CA38" s="177">
        <v>675</v>
      </c>
      <c r="CB38" s="179">
        <v>160</v>
      </c>
      <c r="CC38" s="177">
        <v>88</v>
      </c>
      <c r="CD38" s="177">
        <v>63</v>
      </c>
      <c r="CE38" s="177">
        <v>24</v>
      </c>
      <c r="CF38" s="177">
        <v>7</v>
      </c>
      <c r="CG38" s="177">
        <v>60</v>
      </c>
      <c r="CH38" s="177">
        <v>43</v>
      </c>
      <c r="CI38" s="177">
        <v>7070</v>
      </c>
      <c r="CJ38" s="177">
        <v>1312</v>
      </c>
      <c r="CK38" s="178">
        <v>34</v>
      </c>
      <c r="CL38" s="180">
        <v>21343</v>
      </c>
    </row>
    <row r="39" spans="1:90">
      <c r="A39" s="93">
        <f>ROWS($A$3:A37)</f>
        <v>35</v>
      </c>
      <c r="B39" s="106" t="s">
        <v>264</v>
      </c>
      <c r="C39" s="243"/>
      <c r="D39" s="314" t="s">
        <v>1</v>
      </c>
      <c r="E39" s="316">
        <v>40652</v>
      </c>
      <c r="F39" s="156">
        <v>10436</v>
      </c>
      <c r="G39" s="177">
        <v>2082</v>
      </c>
      <c r="H39" s="177">
        <v>10864</v>
      </c>
      <c r="I39" s="178">
        <v>537</v>
      </c>
      <c r="J39" s="181"/>
      <c r="K39" s="156" t="str">
        <f>BF39</f>
        <v>*</v>
      </c>
      <c r="L39" s="177">
        <f>AY39</f>
        <v>1049</v>
      </c>
      <c r="M39" s="177">
        <f>BD39</f>
        <v>762</v>
      </c>
      <c r="N39" s="177" t="str">
        <f>AW39</f>
        <v>*</v>
      </c>
      <c r="O39" s="177">
        <f>BE39</f>
        <v>0</v>
      </c>
      <c r="P39" s="177">
        <f>'2009'!AZ39+'2009'!BA39</f>
        <v>5675</v>
      </c>
      <c r="Q39" s="177">
        <f>'2009'!AU39</f>
        <v>3</v>
      </c>
      <c r="R39" s="177">
        <f>AT39+AX39</f>
        <v>2049</v>
      </c>
      <c r="S39" s="177">
        <f>AV39</f>
        <v>118</v>
      </c>
      <c r="T39" s="177">
        <f t="shared" si="72"/>
        <v>780</v>
      </c>
      <c r="U39" s="179" t="str">
        <f t="shared" si="72"/>
        <v>*</v>
      </c>
      <c r="V39" s="177">
        <f>BG39+BJ39</f>
        <v>530</v>
      </c>
      <c r="W39" s="177" t="str">
        <f>BR39</f>
        <v>*</v>
      </c>
      <c r="X39" s="177">
        <f>BH39+BI39</f>
        <v>712</v>
      </c>
      <c r="Y39" s="177">
        <f>BK39+BN39</f>
        <v>643</v>
      </c>
      <c r="Z39" s="177">
        <f>BM39</f>
        <v>10</v>
      </c>
      <c r="AA39" s="177">
        <f>BQ39</f>
        <v>187</v>
      </c>
      <c r="AB39" s="179">
        <f>BP39</f>
        <v>0</v>
      </c>
      <c r="AC39" s="177">
        <f>BX39</f>
        <v>0</v>
      </c>
      <c r="AD39" s="177">
        <f>BU39</f>
        <v>1793</v>
      </c>
      <c r="AE39" s="177">
        <f>BS39+BT39</f>
        <v>5790</v>
      </c>
      <c r="AF39" s="177">
        <f>CA39</f>
        <v>723</v>
      </c>
      <c r="AG39" s="177">
        <f>BV39</f>
        <v>2448</v>
      </c>
      <c r="AH39" s="177">
        <f>BZ39</f>
        <v>54</v>
      </c>
      <c r="AI39" s="177">
        <f>BW39</f>
        <v>0</v>
      </c>
      <c r="AJ39" s="177">
        <f>BY39</f>
        <v>0</v>
      </c>
      <c r="AK39" s="179">
        <f>CB39</f>
        <v>56</v>
      </c>
      <c r="AL39" s="177">
        <f>CE39</f>
        <v>0</v>
      </c>
      <c r="AM39" s="177">
        <f>CH39</f>
        <v>0</v>
      </c>
      <c r="AN39" s="177" t="str">
        <f>CJ39</f>
        <v>*</v>
      </c>
      <c r="AO39" s="177">
        <f t="shared" si="73"/>
        <v>18</v>
      </c>
      <c r="AP39" s="177">
        <f t="shared" si="73"/>
        <v>9</v>
      </c>
      <c r="AQ39" s="177">
        <f>CK39</f>
        <v>0</v>
      </c>
      <c r="AR39" s="177">
        <f>CI39</f>
        <v>510</v>
      </c>
      <c r="AS39" s="178" t="str">
        <f>CG39</f>
        <v>*</v>
      </c>
      <c r="AT39" s="181">
        <v>358</v>
      </c>
      <c r="AU39" s="181">
        <v>3</v>
      </c>
      <c r="AV39" s="181">
        <v>118</v>
      </c>
      <c r="AW39" s="177" t="s">
        <v>252</v>
      </c>
      <c r="AX39" s="181">
        <v>1691</v>
      </c>
      <c r="AY39" s="177">
        <v>1049</v>
      </c>
      <c r="AZ39" s="177">
        <v>626</v>
      </c>
      <c r="BA39" s="177">
        <v>5049</v>
      </c>
      <c r="BB39" s="177">
        <v>780</v>
      </c>
      <c r="BC39" s="177" t="s">
        <v>252</v>
      </c>
      <c r="BD39" s="177">
        <v>762</v>
      </c>
      <c r="BE39" s="177">
        <v>0</v>
      </c>
      <c r="BF39" s="179" t="s">
        <v>252</v>
      </c>
      <c r="BG39" s="177">
        <v>195</v>
      </c>
      <c r="BH39" s="177">
        <v>9</v>
      </c>
      <c r="BI39" s="177">
        <v>703</v>
      </c>
      <c r="BJ39" s="177">
        <v>335</v>
      </c>
      <c r="BK39" s="177">
        <v>53</v>
      </c>
      <c r="BL39" s="177" t="s">
        <v>252</v>
      </c>
      <c r="BM39" s="177">
        <v>10</v>
      </c>
      <c r="BN39" s="177">
        <v>590</v>
      </c>
      <c r="BO39" s="177">
        <v>0</v>
      </c>
      <c r="BP39" s="177">
        <v>0</v>
      </c>
      <c r="BQ39" s="177">
        <v>187</v>
      </c>
      <c r="BR39" s="179" t="s">
        <v>252</v>
      </c>
      <c r="BS39" s="177">
        <v>712</v>
      </c>
      <c r="BT39" s="177">
        <v>5078</v>
      </c>
      <c r="BU39" s="177">
        <v>1793</v>
      </c>
      <c r="BV39" s="177">
        <v>2448</v>
      </c>
      <c r="BW39" s="177">
        <v>0</v>
      </c>
      <c r="BX39" s="177">
        <v>0</v>
      </c>
      <c r="BY39" s="177">
        <v>0</v>
      </c>
      <c r="BZ39" s="177">
        <v>54</v>
      </c>
      <c r="CA39" s="177">
        <v>723</v>
      </c>
      <c r="CB39" s="179">
        <v>56</v>
      </c>
      <c r="CC39" s="177">
        <v>18</v>
      </c>
      <c r="CD39" s="177">
        <v>9</v>
      </c>
      <c r="CE39" s="177">
        <v>0</v>
      </c>
      <c r="CF39" s="177" t="s">
        <v>252</v>
      </c>
      <c r="CG39" s="177" t="s">
        <v>252</v>
      </c>
      <c r="CH39" s="177">
        <v>0</v>
      </c>
      <c r="CI39" s="177">
        <v>510</v>
      </c>
      <c r="CJ39" s="177" t="s">
        <v>252</v>
      </c>
      <c r="CK39" s="178">
        <v>0</v>
      </c>
      <c r="CL39" s="180">
        <v>23923</v>
      </c>
    </row>
    <row r="40" spans="1:90">
      <c r="A40" s="93">
        <f>ROWS($A$3:A38)</f>
        <v>36</v>
      </c>
      <c r="B40" s="67" t="s">
        <v>109</v>
      </c>
      <c r="C40" s="243"/>
      <c r="D40" s="314"/>
      <c r="E40" s="333"/>
      <c r="F40" s="156"/>
      <c r="G40" s="177"/>
      <c r="H40" s="177"/>
      <c r="I40" s="178"/>
      <c r="J40" s="181"/>
      <c r="K40" s="156"/>
      <c r="L40" s="177"/>
      <c r="M40" s="177"/>
      <c r="N40" s="177"/>
      <c r="O40" s="177"/>
      <c r="P40" s="177"/>
      <c r="Q40" s="177"/>
      <c r="R40" s="177"/>
      <c r="S40" s="177"/>
      <c r="T40" s="177"/>
      <c r="U40" s="179"/>
      <c r="V40" s="177"/>
      <c r="W40" s="177"/>
      <c r="X40" s="177"/>
      <c r="Y40" s="177"/>
      <c r="Z40" s="177"/>
      <c r="AA40" s="177"/>
      <c r="AB40" s="179"/>
      <c r="AC40" s="177"/>
      <c r="AD40" s="177"/>
      <c r="AE40" s="177"/>
      <c r="AF40" s="177"/>
      <c r="AG40" s="177"/>
      <c r="AH40" s="177"/>
      <c r="AI40" s="177"/>
      <c r="AJ40" s="177"/>
      <c r="AK40" s="179"/>
      <c r="AL40" s="177"/>
      <c r="AM40" s="177"/>
      <c r="AN40" s="177"/>
      <c r="AO40" s="177"/>
      <c r="AP40" s="177"/>
      <c r="AQ40" s="177"/>
      <c r="AR40" s="177"/>
      <c r="AS40" s="178"/>
      <c r="AT40" s="177"/>
      <c r="AU40" s="177"/>
      <c r="AV40" s="177"/>
      <c r="AW40" s="177"/>
      <c r="AX40" s="177"/>
      <c r="AY40" s="177"/>
      <c r="AZ40" s="177"/>
      <c r="BA40" s="177"/>
      <c r="BB40" s="177"/>
      <c r="BC40" s="177"/>
      <c r="BD40" s="177"/>
      <c r="BE40" s="177"/>
      <c r="BF40" s="179"/>
      <c r="BG40" s="177"/>
      <c r="BH40" s="177"/>
      <c r="BI40" s="177"/>
      <c r="BJ40" s="177"/>
      <c r="BK40" s="177"/>
      <c r="BL40" s="177"/>
      <c r="BM40" s="177"/>
      <c r="BN40" s="177"/>
      <c r="BO40" s="177"/>
      <c r="BP40" s="177"/>
      <c r="BQ40" s="177"/>
      <c r="BR40" s="179"/>
      <c r="BS40" s="177"/>
      <c r="BT40" s="177"/>
      <c r="BU40" s="177"/>
      <c r="BV40" s="177"/>
      <c r="BW40" s="177"/>
      <c r="BX40" s="177"/>
      <c r="BY40" s="177"/>
      <c r="BZ40" s="177"/>
      <c r="CA40" s="177"/>
      <c r="CB40" s="179"/>
      <c r="CC40" s="177"/>
      <c r="CD40" s="177"/>
      <c r="CE40" s="177"/>
      <c r="CF40" s="177"/>
      <c r="CG40" s="177"/>
      <c r="CH40" s="177"/>
      <c r="CI40" s="177"/>
      <c r="CJ40" s="177"/>
      <c r="CK40" s="178"/>
      <c r="CL40" s="180"/>
    </row>
    <row r="41" spans="1:90">
      <c r="A41" s="93">
        <f>ROWS($A$3:A39)</f>
        <v>37</v>
      </c>
      <c r="B41" s="106" t="s">
        <v>78</v>
      </c>
      <c r="C41" s="242">
        <v>2009</v>
      </c>
      <c r="D41" s="314" t="s">
        <v>8</v>
      </c>
      <c r="E41" s="316">
        <v>40648</v>
      </c>
      <c r="F41" s="156">
        <v>312276</v>
      </c>
      <c r="G41" s="177">
        <v>84148</v>
      </c>
      <c r="H41" s="177">
        <v>228548</v>
      </c>
      <c r="I41" s="178">
        <v>414108</v>
      </c>
      <c r="J41" s="181"/>
      <c r="K41" s="156">
        <f t="shared" ref="K41:K54" si="74">BF41</f>
        <v>76295</v>
      </c>
      <c r="L41" s="177">
        <f t="shared" ref="L41:L54" si="75">AY41</f>
        <v>21893</v>
      </c>
      <c r="M41" s="177">
        <f t="shared" ref="M41:M54" si="76">BD41</f>
        <v>21078</v>
      </c>
      <c r="N41" s="177">
        <f t="shared" ref="N41:N54" si="77">AW41</f>
        <v>31188</v>
      </c>
      <c r="O41" s="177">
        <f t="shared" ref="O41:O54" si="78">BE41</f>
        <v>23454</v>
      </c>
      <c r="P41" s="177">
        <f>AZ41+BA41</f>
        <v>13479</v>
      </c>
      <c r="Q41" s="177">
        <f>'2009'!AU41</f>
        <v>9278</v>
      </c>
      <c r="R41" s="177">
        <f>AT41+AX41</f>
        <v>14522</v>
      </c>
      <c r="S41" s="177">
        <f t="shared" ref="S41:S54" si="79">AV41</f>
        <v>9770</v>
      </c>
      <c r="T41" s="177">
        <f t="shared" ref="T41:T54" si="80">BB41</f>
        <v>23060</v>
      </c>
      <c r="U41" s="179">
        <f t="shared" ref="U41:U54" si="81">BC41</f>
        <v>68259</v>
      </c>
      <c r="V41" s="177">
        <f>BG41+BJ41</f>
        <v>3128</v>
      </c>
      <c r="W41" s="177">
        <f t="shared" ref="W41:W54" si="82">BR41</f>
        <v>12916</v>
      </c>
      <c r="X41" s="177">
        <f>BH41+BI41</f>
        <v>6257</v>
      </c>
      <c r="Y41" s="177">
        <f>BK41+BL41+BN41</f>
        <v>13340</v>
      </c>
      <c r="Z41" s="177">
        <f t="shared" ref="Z41:Z54" si="83">BM41</f>
        <v>24873</v>
      </c>
      <c r="AA41" s="177">
        <f>BO41+BQ41</f>
        <v>10889</v>
      </c>
      <c r="AB41" s="179">
        <f t="shared" ref="AB41:AB54" si="84">BP41</f>
        <v>12745</v>
      </c>
      <c r="AC41" s="177">
        <f t="shared" ref="AC41:AC54" si="85">BX41</f>
        <v>33327</v>
      </c>
      <c r="AD41" s="177">
        <f t="shared" ref="AD41:AD54" si="86">BU41</f>
        <v>16005</v>
      </c>
      <c r="AE41" s="177">
        <f>BS41+BT41</f>
        <v>30975</v>
      </c>
      <c r="AF41" s="177">
        <f t="shared" ref="AF41:AF54" si="87">CA41</f>
        <v>16463</v>
      </c>
      <c r="AG41" s="177">
        <f t="shared" ref="AG41:AG54" si="88">BV41</f>
        <v>32751</v>
      </c>
      <c r="AH41" s="177">
        <f t="shared" ref="AH41:AH54" si="89">BZ41</f>
        <v>26148</v>
      </c>
      <c r="AI41" s="177">
        <f t="shared" ref="AI41:AI54" si="90">BW41</f>
        <v>19994</v>
      </c>
      <c r="AJ41" s="177">
        <f t="shared" ref="AJ41:AJ54" si="91">BY41</f>
        <v>16493</v>
      </c>
      <c r="AK41" s="179">
        <f t="shared" ref="AK41:AK54" si="92">CB41</f>
        <v>36392</v>
      </c>
      <c r="AL41" s="177">
        <f t="shared" ref="AL41:AL54" si="93">CE41</f>
        <v>14484</v>
      </c>
      <c r="AM41" s="177">
        <f t="shared" ref="AM41:AM54" si="94">CH41</f>
        <v>94685</v>
      </c>
      <c r="AN41" s="177">
        <f t="shared" ref="AN41:AN54" si="95">CJ41</f>
        <v>149348</v>
      </c>
      <c r="AO41" s="177">
        <f t="shared" ref="AO41:AO54" si="96">CC41</f>
        <v>29859</v>
      </c>
      <c r="AP41" s="177">
        <f t="shared" ref="AP41:AP54" si="97">CD41</f>
        <v>6406</v>
      </c>
      <c r="AQ41" s="177">
        <f t="shared" ref="AQ41:AQ54" si="98">CK41</f>
        <v>38022</v>
      </c>
      <c r="AR41" s="177">
        <f t="shared" ref="AR41:AR54" si="99">CI41</f>
        <v>25828</v>
      </c>
      <c r="AS41" s="178">
        <f>CF41+CG41</f>
        <v>55476</v>
      </c>
      <c r="AT41" s="181">
        <v>936</v>
      </c>
      <c r="AU41" s="181">
        <v>9278</v>
      </c>
      <c r="AV41" s="181">
        <v>9770</v>
      </c>
      <c r="AW41" s="181">
        <v>31188</v>
      </c>
      <c r="AX41" s="181">
        <v>13586</v>
      </c>
      <c r="AY41" s="177">
        <v>21893</v>
      </c>
      <c r="AZ41" s="177">
        <v>179</v>
      </c>
      <c r="BA41" s="177">
        <v>13300</v>
      </c>
      <c r="BB41" s="177">
        <v>23060</v>
      </c>
      <c r="BC41" s="177">
        <v>68259</v>
      </c>
      <c r="BD41" s="177">
        <v>21078</v>
      </c>
      <c r="BE41" s="177">
        <v>23454</v>
      </c>
      <c r="BF41" s="179">
        <v>76295</v>
      </c>
      <c r="BG41" s="177">
        <v>231</v>
      </c>
      <c r="BH41" s="177">
        <v>330</v>
      </c>
      <c r="BI41" s="177">
        <v>5927</v>
      </c>
      <c r="BJ41" s="177">
        <v>2897</v>
      </c>
      <c r="BK41" s="177">
        <v>489</v>
      </c>
      <c r="BL41" s="177">
        <v>102</v>
      </c>
      <c r="BM41" s="177">
        <v>24873</v>
      </c>
      <c r="BN41" s="177">
        <v>12749</v>
      </c>
      <c r="BO41" s="177">
        <v>247</v>
      </c>
      <c r="BP41" s="177">
        <v>12745</v>
      </c>
      <c r="BQ41" s="177">
        <v>10642</v>
      </c>
      <c r="BR41" s="179">
        <v>12916</v>
      </c>
      <c r="BS41" s="177">
        <v>708</v>
      </c>
      <c r="BT41" s="177">
        <v>30267</v>
      </c>
      <c r="BU41" s="177">
        <v>16005</v>
      </c>
      <c r="BV41" s="177">
        <v>32751</v>
      </c>
      <c r="BW41" s="177">
        <v>19994</v>
      </c>
      <c r="BX41" s="177">
        <v>33327</v>
      </c>
      <c r="BY41" s="177">
        <v>16493</v>
      </c>
      <c r="BZ41" s="177">
        <v>26148</v>
      </c>
      <c r="CA41" s="177">
        <v>16463</v>
      </c>
      <c r="CB41" s="179">
        <v>36392</v>
      </c>
      <c r="CC41" s="177">
        <v>29859</v>
      </c>
      <c r="CD41" s="177">
        <v>6406</v>
      </c>
      <c r="CE41" s="177">
        <v>14484</v>
      </c>
      <c r="CF41" s="177">
        <v>2072</v>
      </c>
      <c r="CG41" s="177">
        <v>53404</v>
      </c>
      <c r="CH41" s="177">
        <v>94685</v>
      </c>
      <c r="CI41" s="177">
        <v>25828</v>
      </c>
      <c r="CJ41" s="177">
        <v>149348</v>
      </c>
      <c r="CK41" s="178">
        <v>38022</v>
      </c>
      <c r="CL41" s="180">
        <v>1039080</v>
      </c>
    </row>
    <row r="42" spans="1:90">
      <c r="A42" s="93">
        <f>ROWS($A$3:A40)</f>
        <v>38</v>
      </c>
      <c r="B42" s="106" t="s">
        <v>15</v>
      </c>
      <c r="C42" s="243"/>
      <c r="D42" s="314" t="s">
        <v>8</v>
      </c>
      <c r="E42" s="316">
        <v>40648</v>
      </c>
      <c r="F42" s="156">
        <v>100362</v>
      </c>
      <c r="G42" s="177">
        <v>22883</v>
      </c>
      <c r="H42" s="177">
        <v>67417</v>
      </c>
      <c r="I42" s="178">
        <v>159770</v>
      </c>
      <c r="J42" s="181"/>
      <c r="K42" s="156">
        <f t="shared" si="74"/>
        <v>24844</v>
      </c>
      <c r="L42" s="177">
        <f t="shared" si="75"/>
        <v>6619</v>
      </c>
      <c r="M42" s="177">
        <f t="shared" si="76"/>
        <v>6935</v>
      </c>
      <c r="N42" s="177">
        <f t="shared" si="77"/>
        <v>10314</v>
      </c>
      <c r="O42" s="177">
        <f t="shared" si="78"/>
        <v>7610</v>
      </c>
      <c r="P42" s="177">
        <f>AZ42+BA42</f>
        <v>4358</v>
      </c>
      <c r="Q42" s="177">
        <f>'2009'!AU42</f>
        <v>3088</v>
      </c>
      <c r="R42" s="177">
        <f>AT42+AX42</f>
        <v>4837</v>
      </c>
      <c r="S42" s="177">
        <f t="shared" si="79"/>
        <v>2580</v>
      </c>
      <c r="T42" s="177">
        <f t="shared" si="80"/>
        <v>7460</v>
      </c>
      <c r="U42" s="179">
        <f t="shared" si="81"/>
        <v>21717</v>
      </c>
      <c r="V42" s="177">
        <f>BJ42</f>
        <v>401</v>
      </c>
      <c r="W42" s="177">
        <f t="shared" si="82"/>
        <v>3813</v>
      </c>
      <c r="X42" s="177">
        <f>BI42</f>
        <v>1200</v>
      </c>
      <c r="Y42" s="177">
        <f>BK42+BN42</f>
        <v>3549</v>
      </c>
      <c r="Z42" s="177">
        <f t="shared" si="83"/>
        <v>7506</v>
      </c>
      <c r="AA42" s="177">
        <f>BQ42</f>
        <v>2898</v>
      </c>
      <c r="AB42" s="179">
        <f t="shared" si="84"/>
        <v>3429</v>
      </c>
      <c r="AC42" s="177">
        <f t="shared" si="85"/>
        <v>12248</v>
      </c>
      <c r="AD42" s="177">
        <f t="shared" si="86"/>
        <v>3626</v>
      </c>
      <c r="AE42" s="177">
        <f>BS42+BT42</f>
        <v>10243</v>
      </c>
      <c r="AF42" s="177">
        <f t="shared" si="87"/>
        <v>3714</v>
      </c>
      <c r="AG42" s="177">
        <f t="shared" si="88"/>
        <v>8229</v>
      </c>
      <c r="AH42" s="177">
        <f t="shared" si="89"/>
        <v>8991</v>
      </c>
      <c r="AI42" s="177">
        <f t="shared" si="90"/>
        <v>5094</v>
      </c>
      <c r="AJ42" s="177">
        <f t="shared" si="91"/>
        <v>5091</v>
      </c>
      <c r="AK42" s="179">
        <f t="shared" si="92"/>
        <v>10181</v>
      </c>
      <c r="AL42" s="177">
        <f t="shared" si="93"/>
        <v>3360</v>
      </c>
      <c r="AM42" s="177">
        <f t="shared" si="94"/>
        <v>34784</v>
      </c>
      <c r="AN42" s="177">
        <f t="shared" si="95"/>
        <v>69429</v>
      </c>
      <c r="AO42" s="177">
        <f t="shared" si="96"/>
        <v>8389</v>
      </c>
      <c r="AP42" s="177">
        <f t="shared" si="97"/>
        <v>1613</v>
      </c>
      <c r="AQ42" s="177">
        <f t="shared" si="98"/>
        <v>12488</v>
      </c>
      <c r="AR42" s="177">
        <f t="shared" si="99"/>
        <v>10545</v>
      </c>
      <c r="AS42" s="178">
        <f>CF42+CG42</f>
        <v>19162</v>
      </c>
      <c r="AT42" s="181">
        <v>432</v>
      </c>
      <c r="AU42" s="181">
        <v>3088</v>
      </c>
      <c r="AV42" s="181">
        <v>2580</v>
      </c>
      <c r="AW42" s="181">
        <v>10314</v>
      </c>
      <c r="AX42" s="181">
        <v>4405</v>
      </c>
      <c r="AY42" s="177">
        <v>6619</v>
      </c>
      <c r="AZ42" s="177">
        <v>71</v>
      </c>
      <c r="BA42" s="177">
        <v>4287</v>
      </c>
      <c r="BB42" s="177">
        <v>7460</v>
      </c>
      <c r="BC42" s="177">
        <v>21717</v>
      </c>
      <c r="BD42" s="177">
        <v>6935</v>
      </c>
      <c r="BE42" s="177">
        <v>7610</v>
      </c>
      <c r="BF42" s="179">
        <v>24844</v>
      </c>
      <c r="BG42" s="177" t="s">
        <v>61</v>
      </c>
      <c r="BH42" s="177" t="s">
        <v>252</v>
      </c>
      <c r="BI42" s="177">
        <v>1200</v>
      </c>
      <c r="BJ42" s="177">
        <v>401</v>
      </c>
      <c r="BK42" s="177">
        <v>131</v>
      </c>
      <c r="BL42" s="177" t="s">
        <v>252</v>
      </c>
      <c r="BM42" s="177">
        <v>7506</v>
      </c>
      <c r="BN42" s="177">
        <v>3418</v>
      </c>
      <c r="BO42" s="177" t="s">
        <v>252</v>
      </c>
      <c r="BP42" s="177">
        <v>3429</v>
      </c>
      <c r="BQ42" s="177">
        <v>2898</v>
      </c>
      <c r="BR42" s="179">
        <v>3813</v>
      </c>
      <c r="BS42" s="177">
        <v>94</v>
      </c>
      <c r="BT42" s="177">
        <v>10149</v>
      </c>
      <c r="BU42" s="177">
        <v>3626</v>
      </c>
      <c r="BV42" s="177">
        <v>8229</v>
      </c>
      <c r="BW42" s="177">
        <v>5094</v>
      </c>
      <c r="BX42" s="177">
        <v>12248</v>
      </c>
      <c r="BY42" s="177">
        <v>5091</v>
      </c>
      <c r="BZ42" s="177">
        <v>8991</v>
      </c>
      <c r="CA42" s="177">
        <v>3714</v>
      </c>
      <c r="CB42" s="179">
        <v>10181</v>
      </c>
      <c r="CC42" s="177">
        <v>8389</v>
      </c>
      <c r="CD42" s="177">
        <v>1613</v>
      </c>
      <c r="CE42" s="177">
        <v>3360</v>
      </c>
      <c r="CF42" s="177">
        <v>815</v>
      </c>
      <c r="CG42" s="177">
        <v>18347</v>
      </c>
      <c r="CH42" s="177">
        <v>34784</v>
      </c>
      <c r="CI42" s="177">
        <v>10545</v>
      </c>
      <c r="CJ42" s="177">
        <v>69429</v>
      </c>
      <c r="CK42" s="178">
        <v>12488</v>
      </c>
      <c r="CL42" s="180">
        <v>350432</v>
      </c>
    </row>
    <row r="43" spans="1:90">
      <c r="A43" s="93">
        <f>ROWS($A$3:A41)</f>
        <v>39</v>
      </c>
      <c r="B43" s="106" t="s">
        <v>253</v>
      </c>
      <c r="C43" s="243"/>
      <c r="D43" s="314" t="s">
        <v>8</v>
      </c>
      <c r="E43" s="316">
        <v>40648</v>
      </c>
      <c r="F43" s="156">
        <v>17566</v>
      </c>
      <c r="G43" s="177">
        <v>8182</v>
      </c>
      <c r="H43" s="177">
        <v>24075</v>
      </c>
      <c r="I43" s="178">
        <v>15069</v>
      </c>
      <c r="J43" s="181"/>
      <c r="K43" s="156">
        <f t="shared" si="74"/>
        <v>4367</v>
      </c>
      <c r="L43" s="177">
        <f t="shared" si="75"/>
        <v>1890</v>
      </c>
      <c r="M43" s="177">
        <f t="shared" si="76"/>
        <v>769</v>
      </c>
      <c r="N43" s="177">
        <f t="shared" si="77"/>
        <v>1949</v>
      </c>
      <c r="O43" s="177">
        <f t="shared" si="78"/>
        <v>997</v>
      </c>
      <c r="P43" s="177">
        <f>BA43</f>
        <v>718</v>
      </c>
      <c r="Q43" s="177">
        <f>'2009'!AU43</f>
        <v>655</v>
      </c>
      <c r="R43" s="177">
        <f>AX43</f>
        <v>316</v>
      </c>
      <c r="S43" s="177">
        <f t="shared" si="79"/>
        <v>855</v>
      </c>
      <c r="T43" s="177">
        <f t="shared" si="80"/>
        <v>1306</v>
      </c>
      <c r="U43" s="179">
        <f t="shared" si="81"/>
        <v>3699</v>
      </c>
      <c r="V43" s="177">
        <f>BG43+BJ43</f>
        <v>767</v>
      </c>
      <c r="W43" s="177">
        <f t="shared" si="82"/>
        <v>1333</v>
      </c>
      <c r="X43" s="177">
        <f>BI43</f>
        <v>902</v>
      </c>
      <c r="Y43" s="177">
        <f>BL43+BN43</f>
        <v>1133</v>
      </c>
      <c r="Z43" s="177">
        <f t="shared" si="83"/>
        <v>1488</v>
      </c>
      <c r="AA43" s="177">
        <f>BQ43</f>
        <v>1041</v>
      </c>
      <c r="AB43" s="179">
        <f t="shared" si="84"/>
        <v>1336</v>
      </c>
      <c r="AC43" s="177">
        <f t="shared" si="85"/>
        <v>2226</v>
      </c>
      <c r="AD43" s="177">
        <f t="shared" si="86"/>
        <v>2275</v>
      </c>
      <c r="AE43" s="177">
        <f>BS43+BT43</f>
        <v>3522</v>
      </c>
      <c r="AF43" s="177">
        <f t="shared" si="87"/>
        <v>2881</v>
      </c>
      <c r="AG43" s="177">
        <f t="shared" si="88"/>
        <v>4257</v>
      </c>
      <c r="AH43" s="177">
        <f t="shared" si="89"/>
        <v>1365</v>
      </c>
      <c r="AI43" s="177">
        <f t="shared" si="90"/>
        <v>2058</v>
      </c>
      <c r="AJ43" s="177">
        <f t="shared" si="91"/>
        <v>1554</v>
      </c>
      <c r="AK43" s="179">
        <f t="shared" si="92"/>
        <v>3937</v>
      </c>
      <c r="AL43" s="177">
        <f t="shared" si="93"/>
        <v>1953</v>
      </c>
      <c r="AM43" s="177">
        <f t="shared" si="94"/>
        <v>2534</v>
      </c>
      <c r="AN43" s="177">
        <f t="shared" si="95"/>
        <v>3037</v>
      </c>
      <c r="AO43" s="177">
        <f t="shared" si="96"/>
        <v>1451</v>
      </c>
      <c r="AP43" s="177">
        <f t="shared" si="97"/>
        <v>639</v>
      </c>
      <c r="AQ43" s="177">
        <f t="shared" si="98"/>
        <v>2388</v>
      </c>
      <c r="AR43" s="177">
        <f t="shared" si="99"/>
        <v>1015</v>
      </c>
      <c r="AS43" s="178">
        <f>CG43</f>
        <v>2016</v>
      </c>
      <c r="AT43" s="177">
        <v>29</v>
      </c>
      <c r="AU43" s="181">
        <v>655</v>
      </c>
      <c r="AV43" s="181">
        <v>855</v>
      </c>
      <c r="AW43" s="181">
        <v>1949</v>
      </c>
      <c r="AX43" s="181">
        <v>316</v>
      </c>
      <c r="AY43" s="177">
        <v>1890</v>
      </c>
      <c r="AZ43" s="177">
        <v>16</v>
      </c>
      <c r="BA43" s="177">
        <v>718</v>
      </c>
      <c r="BB43" s="177">
        <v>1306</v>
      </c>
      <c r="BC43" s="177">
        <v>3699</v>
      </c>
      <c r="BD43" s="177">
        <v>769</v>
      </c>
      <c r="BE43" s="177">
        <v>997</v>
      </c>
      <c r="BF43" s="179">
        <v>4367</v>
      </c>
      <c r="BG43" s="177">
        <v>73</v>
      </c>
      <c r="BH43" s="177">
        <v>39</v>
      </c>
      <c r="BI43" s="177">
        <v>902</v>
      </c>
      <c r="BJ43" s="177">
        <v>694</v>
      </c>
      <c r="BK43" s="177">
        <v>112</v>
      </c>
      <c r="BL43" s="177">
        <v>25</v>
      </c>
      <c r="BM43" s="177">
        <v>1488</v>
      </c>
      <c r="BN43" s="177">
        <v>1108</v>
      </c>
      <c r="BO43" s="177">
        <v>31</v>
      </c>
      <c r="BP43" s="177">
        <v>1336</v>
      </c>
      <c r="BQ43" s="177">
        <v>1041</v>
      </c>
      <c r="BR43" s="179">
        <v>1333</v>
      </c>
      <c r="BS43" s="177">
        <v>124</v>
      </c>
      <c r="BT43" s="177">
        <v>3398</v>
      </c>
      <c r="BU43" s="177">
        <v>2275</v>
      </c>
      <c r="BV43" s="177">
        <v>4257</v>
      </c>
      <c r="BW43" s="177">
        <v>2058</v>
      </c>
      <c r="BX43" s="177">
        <v>2226</v>
      </c>
      <c r="BY43" s="177">
        <v>1554</v>
      </c>
      <c r="BZ43" s="177">
        <v>1365</v>
      </c>
      <c r="CA43" s="177">
        <v>2881</v>
      </c>
      <c r="CB43" s="179">
        <v>3937</v>
      </c>
      <c r="CC43" s="177">
        <v>1451</v>
      </c>
      <c r="CD43" s="177">
        <v>639</v>
      </c>
      <c r="CE43" s="177">
        <v>1953</v>
      </c>
      <c r="CF43" s="177">
        <v>36</v>
      </c>
      <c r="CG43" s="177">
        <v>2016</v>
      </c>
      <c r="CH43" s="177">
        <v>2534</v>
      </c>
      <c r="CI43" s="177">
        <v>1015</v>
      </c>
      <c r="CJ43" s="177">
        <v>3037</v>
      </c>
      <c r="CK43" s="178">
        <v>2388</v>
      </c>
      <c r="CL43" s="180">
        <v>64892</v>
      </c>
    </row>
    <row r="44" spans="1:90">
      <c r="A44" s="93">
        <f>ROWS($A$3:A42)</f>
        <v>40</v>
      </c>
      <c r="B44" s="62" t="s">
        <v>21</v>
      </c>
      <c r="C44" s="312"/>
      <c r="D44" s="314" t="s">
        <v>260</v>
      </c>
      <c r="E44" s="316">
        <v>40648</v>
      </c>
      <c r="F44" s="156">
        <f>F42/F124</f>
        <v>30.72933251684017</v>
      </c>
      <c r="G44" s="177">
        <f>G42/G124</f>
        <v>31.781944444444445</v>
      </c>
      <c r="H44" s="177">
        <f>H42/H124</f>
        <v>23.295438838977194</v>
      </c>
      <c r="I44" s="178">
        <f>I42/I124</f>
        <v>36.122541261587159</v>
      </c>
      <c r="J44" s="181"/>
      <c r="K44" s="156">
        <f t="shared" si="74"/>
        <v>31.851282051282052</v>
      </c>
      <c r="L44" s="177">
        <f t="shared" si="75"/>
        <v>25.85546875</v>
      </c>
      <c r="M44" s="177">
        <f t="shared" si="76"/>
        <v>26.169811320754718</v>
      </c>
      <c r="N44" s="177">
        <f t="shared" si="77"/>
        <v>32.847133757961785</v>
      </c>
      <c r="O44" s="177">
        <f t="shared" si="78"/>
        <v>35.727699530516432</v>
      </c>
      <c r="P44" s="183">
        <f>(AZ42*AZ44+BA42*BA44)/P42</f>
        <v>32.728847918946592</v>
      </c>
      <c r="Q44" s="177">
        <f>'2009'!AU44</f>
        <v>34.31111111111111</v>
      </c>
      <c r="R44" s="183">
        <f>(AT42*AT44+AX42*AX44)/R42</f>
        <v>29.861850334510486</v>
      </c>
      <c r="S44" s="177">
        <f t="shared" si="79"/>
        <v>26.326530612244898</v>
      </c>
      <c r="T44" s="177">
        <f t="shared" si="80"/>
        <v>32.155172413793103</v>
      </c>
      <c r="U44" s="179">
        <f t="shared" si="81"/>
        <v>30.078947368421051</v>
      </c>
      <c r="V44" s="183">
        <f>(BJ42*BJ44)/V42</f>
        <v>17.434782608695652</v>
      </c>
      <c r="W44" s="177">
        <f t="shared" si="82"/>
        <v>27.235714285714284</v>
      </c>
      <c r="X44" s="183">
        <f>(BI42*BI44)/X42</f>
        <v>35.294117647058826</v>
      </c>
      <c r="Y44" s="183">
        <f>(BK42*BK44+BN42*BN44)/Y42</f>
        <v>33.609132552429259</v>
      </c>
      <c r="Z44" s="177">
        <f t="shared" si="83"/>
        <v>35.074766355140184</v>
      </c>
      <c r="AA44" s="183">
        <f>(BQ42*BQ44)/AA42</f>
        <v>41.4</v>
      </c>
      <c r="AB44" s="179">
        <f t="shared" si="84"/>
        <v>27.214285714285715</v>
      </c>
      <c r="AC44" s="177">
        <f t="shared" si="85"/>
        <v>25.463617463617464</v>
      </c>
      <c r="AD44" s="177">
        <f t="shared" si="86"/>
        <v>18.13</v>
      </c>
      <c r="AE44" s="183">
        <f>(BS42*BS44+BT42*BT44)/AE42</f>
        <v>21.432279456975618</v>
      </c>
      <c r="AF44" s="177">
        <f t="shared" si="87"/>
        <v>18.477611940298509</v>
      </c>
      <c r="AG44" s="177">
        <f t="shared" si="88"/>
        <v>15.734225621414915</v>
      </c>
      <c r="AH44" s="177">
        <f t="shared" si="89"/>
        <v>36.108433734939759</v>
      </c>
      <c r="AI44" s="177">
        <f t="shared" si="90"/>
        <v>21.584745762711865</v>
      </c>
      <c r="AJ44" s="177">
        <f t="shared" si="91"/>
        <v>37.433823529411768</v>
      </c>
      <c r="AK44" s="179">
        <f t="shared" si="92"/>
        <v>26.105128205128207</v>
      </c>
      <c r="AL44" s="177">
        <f t="shared" si="93"/>
        <v>42</v>
      </c>
      <c r="AM44" s="177">
        <f t="shared" si="94"/>
        <v>37.482758620689658</v>
      </c>
      <c r="AN44" s="177">
        <f t="shared" si="95"/>
        <v>39.833046471600689</v>
      </c>
      <c r="AO44" s="177">
        <f t="shared" si="96"/>
        <v>31.656603773584905</v>
      </c>
      <c r="AP44" s="177">
        <f t="shared" si="97"/>
        <v>37.511627906976742</v>
      </c>
      <c r="AQ44" s="177">
        <f t="shared" si="98"/>
        <v>30.758620689655171</v>
      </c>
      <c r="AR44" s="177">
        <f t="shared" si="99"/>
        <v>29.537815126050422</v>
      </c>
      <c r="AS44" s="184">
        <f>(CF42*CF44+CG42*CG44)/AS42</f>
        <v>31.938001477849649</v>
      </c>
      <c r="AT44" s="177">
        <f t="shared" ref="AT44:BF44" si="100">AT42/AT124</f>
        <v>28.8</v>
      </c>
      <c r="AU44" s="177">
        <f t="shared" si="100"/>
        <v>34.31111111111111</v>
      </c>
      <c r="AV44" s="177">
        <f t="shared" si="100"/>
        <v>26.326530612244898</v>
      </c>
      <c r="AW44" s="177">
        <f t="shared" si="100"/>
        <v>32.847133757961785</v>
      </c>
      <c r="AX44" s="177">
        <f t="shared" si="100"/>
        <v>29.965986394557824</v>
      </c>
      <c r="AY44" s="177">
        <f t="shared" si="100"/>
        <v>25.85546875</v>
      </c>
      <c r="AZ44" s="177">
        <f t="shared" si="100"/>
        <v>17.75</v>
      </c>
      <c r="BA44" s="177">
        <f t="shared" si="100"/>
        <v>32.976923076923079</v>
      </c>
      <c r="BB44" s="177">
        <f t="shared" si="100"/>
        <v>32.155172413793103</v>
      </c>
      <c r="BC44" s="177">
        <f t="shared" si="100"/>
        <v>30.078947368421051</v>
      </c>
      <c r="BD44" s="177">
        <f t="shared" si="100"/>
        <v>26.169811320754718</v>
      </c>
      <c r="BE44" s="177">
        <f t="shared" si="100"/>
        <v>35.727699530516432</v>
      </c>
      <c r="BF44" s="179">
        <f t="shared" si="100"/>
        <v>31.851282051282052</v>
      </c>
      <c r="BG44" s="177" t="s">
        <v>252</v>
      </c>
      <c r="BH44" s="177" t="s">
        <v>252</v>
      </c>
      <c r="BI44" s="177">
        <f>BI42/BI124</f>
        <v>35.294117647058826</v>
      </c>
      <c r="BJ44" s="177">
        <f>BJ42/BJ124</f>
        <v>17.434782608695652</v>
      </c>
      <c r="BK44" s="177">
        <f>BK42/BK124</f>
        <v>18.714285714285715</v>
      </c>
      <c r="BL44" s="177" t="s">
        <v>252</v>
      </c>
      <c r="BM44" s="177">
        <f>BM42/BM124</f>
        <v>35.074766355140184</v>
      </c>
      <c r="BN44" s="177">
        <f>BN42/BN124</f>
        <v>34.18</v>
      </c>
      <c r="BO44" s="177" t="s">
        <v>252</v>
      </c>
      <c r="BP44" s="177">
        <f t="shared" ref="BP44:CL44" si="101">BP42/BP124</f>
        <v>27.214285714285715</v>
      </c>
      <c r="BQ44" s="177">
        <f t="shared" si="101"/>
        <v>41.4</v>
      </c>
      <c r="BR44" s="179">
        <f t="shared" si="101"/>
        <v>27.235714285714284</v>
      </c>
      <c r="BS44" s="177">
        <f t="shared" si="101"/>
        <v>18.8</v>
      </c>
      <c r="BT44" s="177">
        <f t="shared" si="101"/>
        <v>21.456659619450317</v>
      </c>
      <c r="BU44" s="177">
        <f t="shared" si="101"/>
        <v>18.13</v>
      </c>
      <c r="BV44" s="177">
        <f t="shared" si="101"/>
        <v>15.734225621414915</v>
      </c>
      <c r="BW44" s="177">
        <f t="shared" si="101"/>
        <v>21.584745762711865</v>
      </c>
      <c r="BX44" s="177">
        <f t="shared" si="101"/>
        <v>25.463617463617464</v>
      </c>
      <c r="BY44" s="177">
        <f t="shared" si="101"/>
        <v>37.433823529411768</v>
      </c>
      <c r="BZ44" s="177">
        <f t="shared" si="101"/>
        <v>36.108433734939759</v>
      </c>
      <c r="CA44" s="177">
        <f t="shared" si="101"/>
        <v>18.477611940298509</v>
      </c>
      <c r="CB44" s="179">
        <f t="shared" si="101"/>
        <v>26.105128205128207</v>
      </c>
      <c r="CC44" s="177">
        <f t="shared" si="101"/>
        <v>31.656603773584905</v>
      </c>
      <c r="CD44" s="177">
        <f t="shared" si="101"/>
        <v>37.511627906976742</v>
      </c>
      <c r="CE44" s="177">
        <f t="shared" si="101"/>
        <v>42</v>
      </c>
      <c r="CF44" s="177">
        <f t="shared" si="101"/>
        <v>38.80952380952381</v>
      </c>
      <c r="CG44" s="177">
        <f t="shared" si="101"/>
        <v>31.632758620689657</v>
      </c>
      <c r="CH44" s="177">
        <f t="shared" si="101"/>
        <v>37.482758620689658</v>
      </c>
      <c r="CI44" s="177">
        <f t="shared" si="101"/>
        <v>29.537815126050422</v>
      </c>
      <c r="CJ44" s="177">
        <f t="shared" si="101"/>
        <v>39.833046471600689</v>
      </c>
      <c r="CK44" s="178">
        <f t="shared" si="101"/>
        <v>30.758620689655171</v>
      </c>
      <c r="CL44" s="180">
        <f t="shared" si="101"/>
        <v>31.003450411395203</v>
      </c>
    </row>
    <row r="45" spans="1:90">
      <c r="A45" s="93">
        <f>ROWS($A$3:A43)</f>
        <v>41</v>
      </c>
      <c r="B45" s="106" t="s">
        <v>79</v>
      </c>
      <c r="C45" s="242">
        <v>2007</v>
      </c>
      <c r="D45" s="314" t="s">
        <v>8</v>
      </c>
      <c r="E45" s="316">
        <v>40652</v>
      </c>
      <c r="F45" s="156">
        <v>1180197</v>
      </c>
      <c r="G45" s="177">
        <v>127805</v>
      </c>
      <c r="H45" s="177">
        <v>180992</v>
      </c>
      <c r="I45" s="178">
        <v>746925</v>
      </c>
      <c r="J45" s="181"/>
      <c r="K45" s="156">
        <f t="shared" si="74"/>
        <v>140592</v>
      </c>
      <c r="L45" s="177">
        <f t="shared" si="75"/>
        <v>19474</v>
      </c>
      <c r="M45" s="177">
        <f t="shared" si="76"/>
        <v>160206</v>
      </c>
      <c r="N45" s="177">
        <f t="shared" si="77"/>
        <v>28195</v>
      </c>
      <c r="O45" s="177">
        <f t="shared" si="78"/>
        <v>50959</v>
      </c>
      <c r="P45" s="177">
        <f>BA45</f>
        <v>36359</v>
      </c>
      <c r="Q45" s="177">
        <f>'2009'!AU45</f>
        <v>20889</v>
      </c>
      <c r="R45" s="177">
        <f>AX45</f>
        <v>42918</v>
      </c>
      <c r="S45" s="177">
        <f t="shared" si="79"/>
        <v>8426</v>
      </c>
      <c r="T45" s="177">
        <f t="shared" si="80"/>
        <v>194362</v>
      </c>
      <c r="U45" s="179">
        <f t="shared" si="81"/>
        <v>477817</v>
      </c>
      <c r="V45" s="177">
        <f>BJ45</f>
        <v>7440</v>
      </c>
      <c r="W45" s="177">
        <f t="shared" si="82"/>
        <v>14753</v>
      </c>
      <c r="X45" s="177">
        <f>BH45+BI45</f>
        <v>13037</v>
      </c>
      <c r="Y45" s="177">
        <f>BK45+BL45+BN45</f>
        <v>33131</v>
      </c>
      <c r="Z45" s="177">
        <f t="shared" si="83"/>
        <v>43654</v>
      </c>
      <c r="AA45" s="177">
        <f>BQ45</f>
        <v>8295</v>
      </c>
      <c r="AB45" s="179">
        <f t="shared" si="84"/>
        <v>8817</v>
      </c>
      <c r="AC45" s="177">
        <f t="shared" si="85"/>
        <v>24208</v>
      </c>
      <c r="AD45" s="177">
        <f t="shared" si="86"/>
        <v>7935</v>
      </c>
      <c r="AE45" s="177">
        <f>BS45+BT45</f>
        <v>10268</v>
      </c>
      <c r="AF45" s="177">
        <f t="shared" si="87"/>
        <v>4880</v>
      </c>
      <c r="AG45" s="177">
        <f t="shared" si="88"/>
        <v>38468</v>
      </c>
      <c r="AH45" s="177">
        <f t="shared" si="89"/>
        <v>22788</v>
      </c>
      <c r="AI45" s="177">
        <f t="shared" si="90"/>
        <v>39860</v>
      </c>
      <c r="AJ45" s="177">
        <f t="shared" si="91"/>
        <v>12198</v>
      </c>
      <c r="AK45" s="179">
        <f t="shared" si="92"/>
        <v>20387</v>
      </c>
      <c r="AL45" s="177">
        <f t="shared" si="93"/>
        <v>11586</v>
      </c>
      <c r="AM45" s="177">
        <f t="shared" si="94"/>
        <v>174636</v>
      </c>
      <c r="AN45" s="177">
        <f t="shared" si="95"/>
        <v>64349</v>
      </c>
      <c r="AO45" s="177">
        <f t="shared" si="96"/>
        <v>35347</v>
      </c>
      <c r="AP45" s="177">
        <f t="shared" si="97"/>
        <v>15667</v>
      </c>
      <c r="AQ45" s="177">
        <f t="shared" si="98"/>
        <v>109636</v>
      </c>
      <c r="AR45" s="177">
        <f t="shared" si="99"/>
        <v>21765</v>
      </c>
      <c r="AS45" s="178">
        <f>CF45+CG45</f>
        <v>313939</v>
      </c>
      <c r="AT45" s="177" t="s">
        <v>252</v>
      </c>
      <c r="AU45" s="181">
        <v>20889</v>
      </c>
      <c r="AV45" s="181">
        <v>8426</v>
      </c>
      <c r="AW45" s="181">
        <v>28195</v>
      </c>
      <c r="AX45" s="181">
        <v>42918</v>
      </c>
      <c r="AY45" s="177">
        <v>19474</v>
      </c>
      <c r="AZ45" s="177" t="s">
        <v>252</v>
      </c>
      <c r="BA45" s="177">
        <v>36359</v>
      </c>
      <c r="BB45" s="177">
        <v>194362</v>
      </c>
      <c r="BC45" s="177">
        <v>477817</v>
      </c>
      <c r="BD45" s="177">
        <v>160206</v>
      </c>
      <c r="BE45" s="177">
        <v>50959</v>
      </c>
      <c r="BF45" s="179">
        <v>140592</v>
      </c>
      <c r="BG45" s="177" t="s">
        <v>252</v>
      </c>
      <c r="BH45" s="177">
        <v>1322</v>
      </c>
      <c r="BI45" s="177">
        <v>11715</v>
      </c>
      <c r="BJ45" s="177">
        <v>7440</v>
      </c>
      <c r="BK45" s="177">
        <v>792</v>
      </c>
      <c r="BL45" s="177">
        <v>841</v>
      </c>
      <c r="BM45" s="177">
        <v>43654</v>
      </c>
      <c r="BN45" s="177">
        <v>31498</v>
      </c>
      <c r="BO45" s="177" t="s">
        <v>252</v>
      </c>
      <c r="BP45" s="177">
        <v>8817</v>
      </c>
      <c r="BQ45" s="177">
        <v>8295</v>
      </c>
      <c r="BR45" s="179">
        <v>14753</v>
      </c>
      <c r="BS45" s="177">
        <v>411</v>
      </c>
      <c r="BT45" s="177">
        <v>9857</v>
      </c>
      <c r="BU45" s="177">
        <v>7935</v>
      </c>
      <c r="BV45" s="177">
        <v>38468</v>
      </c>
      <c r="BW45" s="177">
        <v>39860</v>
      </c>
      <c r="BX45" s="177">
        <v>24208</v>
      </c>
      <c r="BY45" s="177">
        <v>12198</v>
      </c>
      <c r="BZ45" s="177">
        <v>22788</v>
      </c>
      <c r="CA45" s="177">
        <v>4880</v>
      </c>
      <c r="CB45" s="179">
        <v>20387</v>
      </c>
      <c r="CC45" s="177">
        <v>35347</v>
      </c>
      <c r="CD45" s="177">
        <v>15667</v>
      </c>
      <c r="CE45" s="177">
        <v>11586</v>
      </c>
      <c r="CF45" s="177">
        <v>21147</v>
      </c>
      <c r="CG45" s="177">
        <v>292792</v>
      </c>
      <c r="CH45" s="177">
        <v>174636</v>
      </c>
      <c r="CI45" s="177">
        <v>21765</v>
      </c>
      <c r="CJ45" s="177">
        <v>64349</v>
      </c>
      <c r="CK45" s="178">
        <v>109636</v>
      </c>
      <c r="CL45" s="180">
        <v>2238322</v>
      </c>
    </row>
    <row r="46" spans="1:90">
      <c r="A46" s="93">
        <f>ROWS($A$3:A44)</f>
        <v>42</v>
      </c>
      <c r="B46" s="106" t="s">
        <v>9</v>
      </c>
      <c r="C46" s="243"/>
      <c r="D46" s="314" t="s">
        <v>8</v>
      </c>
      <c r="E46" s="316">
        <v>40652</v>
      </c>
      <c r="F46" s="156">
        <v>161288</v>
      </c>
      <c r="G46" s="177">
        <v>11514</v>
      </c>
      <c r="H46" s="177">
        <v>15185</v>
      </c>
      <c r="I46" s="178">
        <v>83191</v>
      </c>
      <c r="J46" s="181"/>
      <c r="K46" s="156">
        <f t="shared" si="74"/>
        <v>20873</v>
      </c>
      <c r="L46" s="177">
        <f t="shared" si="75"/>
        <v>1661</v>
      </c>
      <c r="M46" s="177">
        <f t="shared" si="76"/>
        <v>23900</v>
      </c>
      <c r="N46" s="177">
        <f t="shared" si="77"/>
        <v>1821</v>
      </c>
      <c r="O46" s="177">
        <f t="shared" si="78"/>
        <v>5178</v>
      </c>
      <c r="P46" s="177">
        <f>BA46</f>
        <v>3905</v>
      </c>
      <c r="Q46" s="177">
        <f>'2009'!AU46</f>
        <v>2440</v>
      </c>
      <c r="R46" s="177">
        <f>AX46</f>
        <v>3610</v>
      </c>
      <c r="S46" s="177">
        <f t="shared" si="79"/>
        <v>545</v>
      </c>
      <c r="T46" s="177">
        <f t="shared" si="80"/>
        <v>29758</v>
      </c>
      <c r="U46" s="179">
        <f t="shared" si="81"/>
        <v>67597</v>
      </c>
      <c r="V46" s="177">
        <f>BJ46</f>
        <v>615</v>
      </c>
      <c r="W46" s="177">
        <f t="shared" si="82"/>
        <v>1828</v>
      </c>
      <c r="X46" s="177">
        <f>BI46</f>
        <v>1077</v>
      </c>
      <c r="Y46" s="177">
        <f>BL46+BN46</f>
        <v>2582</v>
      </c>
      <c r="Z46" s="177">
        <f t="shared" si="83"/>
        <v>4450</v>
      </c>
      <c r="AA46" s="177">
        <f>BQ46</f>
        <v>408</v>
      </c>
      <c r="AB46" s="179">
        <f t="shared" si="84"/>
        <v>554</v>
      </c>
      <c r="AC46" s="177">
        <f t="shared" si="85"/>
        <v>1807</v>
      </c>
      <c r="AD46" s="177">
        <f t="shared" si="86"/>
        <v>614</v>
      </c>
      <c r="AE46" s="177">
        <f>BT46</f>
        <v>745</v>
      </c>
      <c r="AF46" s="177" t="str">
        <f t="shared" si="87"/>
        <v>*</v>
      </c>
      <c r="AG46" s="177">
        <f t="shared" si="88"/>
        <v>4152</v>
      </c>
      <c r="AH46" s="177">
        <f t="shared" si="89"/>
        <v>1541</v>
      </c>
      <c r="AI46" s="177">
        <f t="shared" si="90"/>
        <v>3227</v>
      </c>
      <c r="AJ46" s="177">
        <f t="shared" si="91"/>
        <v>1096</v>
      </c>
      <c r="AK46" s="179">
        <f t="shared" si="92"/>
        <v>2003</v>
      </c>
      <c r="AL46" s="177">
        <f t="shared" si="93"/>
        <v>850</v>
      </c>
      <c r="AM46" s="177">
        <f t="shared" si="94"/>
        <v>19510</v>
      </c>
      <c r="AN46" s="177">
        <f t="shared" si="95"/>
        <v>7843</v>
      </c>
      <c r="AO46" s="177">
        <f t="shared" si="96"/>
        <v>4324</v>
      </c>
      <c r="AP46" s="177">
        <f t="shared" si="97"/>
        <v>988</v>
      </c>
      <c r="AQ46" s="177">
        <f t="shared" si="98"/>
        <v>12657</v>
      </c>
      <c r="AR46" s="177">
        <f t="shared" si="99"/>
        <v>1948</v>
      </c>
      <c r="AS46" s="178">
        <f>CF46+CG46</f>
        <v>35071</v>
      </c>
      <c r="AT46" s="177" t="s">
        <v>252</v>
      </c>
      <c r="AU46" s="181">
        <v>2440</v>
      </c>
      <c r="AV46" s="181">
        <v>545</v>
      </c>
      <c r="AW46" s="181">
        <v>1821</v>
      </c>
      <c r="AX46" s="181">
        <v>3610</v>
      </c>
      <c r="AY46" s="177">
        <v>1661</v>
      </c>
      <c r="AZ46" s="177" t="s">
        <v>252</v>
      </c>
      <c r="BA46" s="177">
        <v>3905</v>
      </c>
      <c r="BB46" s="177">
        <v>29758</v>
      </c>
      <c r="BC46" s="177">
        <v>67597</v>
      </c>
      <c r="BD46" s="177">
        <v>23900</v>
      </c>
      <c r="BE46" s="177">
        <v>5178</v>
      </c>
      <c r="BF46" s="179">
        <v>20873</v>
      </c>
      <c r="BG46" s="177" t="s">
        <v>252</v>
      </c>
      <c r="BH46" s="177">
        <v>163</v>
      </c>
      <c r="BI46" s="177">
        <v>1077</v>
      </c>
      <c r="BJ46" s="177">
        <v>615</v>
      </c>
      <c r="BK46" s="177" t="s">
        <v>252</v>
      </c>
      <c r="BL46" s="177">
        <v>0</v>
      </c>
      <c r="BM46" s="177">
        <v>4450</v>
      </c>
      <c r="BN46" s="177">
        <v>2582</v>
      </c>
      <c r="BO46" s="177" t="s">
        <v>252</v>
      </c>
      <c r="BP46" s="177">
        <v>554</v>
      </c>
      <c r="BQ46" s="177">
        <v>408</v>
      </c>
      <c r="BR46" s="179">
        <v>1828</v>
      </c>
      <c r="BS46" s="177" t="s">
        <v>252</v>
      </c>
      <c r="BT46" s="177">
        <v>745</v>
      </c>
      <c r="BU46" s="177">
        <v>614</v>
      </c>
      <c r="BV46" s="177">
        <v>4152</v>
      </c>
      <c r="BW46" s="177">
        <v>3227</v>
      </c>
      <c r="BX46" s="177">
        <v>1807</v>
      </c>
      <c r="BY46" s="177">
        <v>1096</v>
      </c>
      <c r="BZ46" s="177">
        <v>1541</v>
      </c>
      <c r="CA46" s="177" t="s">
        <v>252</v>
      </c>
      <c r="CB46" s="179">
        <v>2003</v>
      </c>
      <c r="CC46" s="177">
        <v>4324</v>
      </c>
      <c r="CD46" s="177">
        <v>988</v>
      </c>
      <c r="CE46" s="177">
        <v>850</v>
      </c>
      <c r="CF46" s="177">
        <v>1599</v>
      </c>
      <c r="CG46" s="177">
        <v>33472</v>
      </c>
      <c r="CH46" s="177">
        <v>19510</v>
      </c>
      <c r="CI46" s="177">
        <v>1948</v>
      </c>
      <c r="CJ46" s="177">
        <v>7843</v>
      </c>
      <c r="CK46" s="178">
        <v>12657</v>
      </c>
      <c r="CL46" s="180">
        <v>271854</v>
      </c>
    </row>
    <row r="47" spans="1:90">
      <c r="A47" s="93">
        <f>ROWS($A$3:A45)</f>
        <v>43</v>
      </c>
      <c r="B47" s="62" t="s">
        <v>20</v>
      </c>
      <c r="C47" s="312"/>
      <c r="D47" s="314" t="s">
        <v>260</v>
      </c>
      <c r="E47" s="316">
        <v>40652</v>
      </c>
      <c r="F47" s="156">
        <v>95</v>
      </c>
      <c r="G47" s="177">
        <v>57</v>
      </c>
      <c r="H47" s="177">
        <v>30</v>
      </c>
      <c r="I47" s="178">
        <v>92</v>
      </c>
      <c r="J47" s="181"/>
      <c r="K47" s="156">
        <f t="shared" si="74"/>
        <v>57</v>
      </c>
      <c r="L47" s="177">
        <f t="shared" si="75"/>
        <v>45</v>
      </c>
      <c r="M47" s="177">
        <f t="shared" si="76"/>
        <v>70</v>
      </c>
      <c r="N47" s="177">
        <f t="shared" si="77"/>
        <v>61</v>
      </c>
      <c r="O47" s="177">
        <f t="shared" si="78"/>
        <v>98</v>
      </c>
      <c r="P47" s="177">
        <f>BA47</f>
        <v>100</v>
      </c>
      <c r="Q47" s="177">
        <f>'2009'!AU47</f>
        <v>85</v>
      </c>
      <c r="R47" s="183" t="s">
        <v>252</v>
      </c>
      <c r="S47" s="177">
        <f t="shared" si="79"/>
        <v>38</v>
      </c>
      <c r="T47" s="177">
        <f t="shared" si="80"/>
        <v>134</v>
      </c>
      <c r="U47" s="179">
        <f t="shared" si="81"/>
        <v>132</v>
      </c>
      <c r="V47" s="183">
        <f>(BJ45*BJ47)/V45</f>
        <v>60</v>
      </c>
      <c r="W47" s="177">
        <f t="shared" si="82"/>
        <v>32</v>
      </c>
      <c r="X47" s="183">
        <f>(BH45*BH47+BI45*BI47)/X45</f>
        <v>57.23088133773107</v>
      </c>
      <c r="Y47" s="183">
        <f>(BL45*BL47+BN45*BN47)/Y45</f>
        <v>86.770909420180502</v>
      </c>
      <c r="Z47" s="177">
        <f t="shared" si="83"/>
        <v>72</v>
      </c>
      <c r="AA47" s="183">
        <f>(BQ45*BQ47)/AA45</f>
        <v>49</v>
      </c>
      <c r="AB47" s="179">
        <f t="shared" si="84"/>
        <v>26</v>
      </c>
      <c r="AC47" s="177">
        <f t="shared" si="85"/>
        <v>30</v>
      </c>
      <c r="AD47" s="177">
        <f t="shared" si="86"/>
        <v>16</v>
      </c>
      <c r="AE47" s="183">
        <f>(BS45*BS47+BT45*BT47)/AE45</f>
        <v>13.87991819244254</v>
      </c>
      <c r="AF47" s="177">
        <f t="shared" si="87"/>
        <v>24</v>
      </c>
      <c r="AG47" s="177">
        <f t="shared" si="88"/>
        <v>20</v>
      </c>
      <c r="AH47" s="177">
        <f t="shared" si="89"/>
        <v>70</v>
      </c>
      <c r="AI47" s="177">
        <f t="shared" si="90"/>
        <v>54</v>
      </c>
      <c r="AJ47" s="177">
        <f t="shared" si="91"/>
        <v>44</v>
      </c>
      <c r="AK47" s="179">
        <f t="shared" si="92"/>
        <v>27</v>
      </c>
      <c r="AL47" s="177">
        <f t="shared" si="93"/>
        <v>47</v>
      </c>
      <c r="AM47" s="177">
        <f t="shared" si="94"/>
        <v>103</v>
      </c>
      <c r="AN47" s="177">
        <f t="shared" si="95"/>
        <v>88</v>
      </c>
      <c r="AO47" s="177">
        <f t="shared" si="96"/>
        <v>36</v>
      </c>
      <c r="AP47" s="177">
        <f t="shared" si="97"/>
        <v>66</v>
      </c>
      <c r="AQ47" s="177">
        <f t="shared" si="98"/>
        <v>81</v>
      </c>
      <c r="AR47" s="177">
        <f t="shared" si="99"/>
        <v>68</v>
      </c>
      <c r="AS47" s="184">
        <f>(CF45*CF47+CG45*CG47)/AS45</f>
        <v>124.44577449759348</v>
      </c>
      <c r="AT47" s="177" t="s">
        <v>252</v>
      </c>
      <c r="AU47" s="177">
        <v>85</v>
      </c>
      <c r="AV47" s="177">
        <v>38</v>
      </c>
      <c r="AW47" s="177">
        <v>61</v>
      </c>
      <c r="AX47" s="177">
        <v>123</v>
      </c>
      <c r="AY47" s="177">
        <v>45</v>
      </c>
      <c r="AZ47" s="177" t="s">
        <v>252</v>
      </c>
      <c r="BA47" s="177">
        <v>100</v>
      </c>
      <c r="BB47" s="177">
        <v>134</v>
      </c>
      <c r="BC47" s="177">
        <v>132</v>
      </c>
      <c r="BD47" s="177">
        <v>70</v>
      </c>
      <c r="BE47" s="177">
        <v>98</v>
      </c>
      <c r="BF47" s="179">
        <v>57</v>
      </c>
      <c r="BG47" s="177">
        <v>0</v>
      </c>
      <c r="BH47" s="177">
        <v>77</v>
      </c>
      <c r="BI47" s="177">
        <v>55</v>
      </c>
      <c r="BJ47" s="177">
        <v>60</v>
      </c>
      <c r="BK47" s="177" t="s">
        <v>252</v>
      </c>
      <c r="BL47" s="177">
        <v>85</v>
      </c>
      <c r="BM47" s="177">
        <v>72</v>
      </c>
      <c r="BN47" s="177">
        <v>89</v>
      </c>
      <c r="BO47" s="177" t="s">
        <v>252</v>
      </c>
      <c r="BP47" s="177">
        <v>26</v>
      </c>
      <c r="BQ47" s="177">
        <v>49</v>
      </c>
      <c r="BR47" s="179">
        <v>32</v>
      </c>
      <c r="BS47" s="177">
        <v>11</v>
      </c>
      <c r="BT47" s="177">
        <v>14</v>
      </c>
      <c r="BU47" s="177">
        <v>16</v>
      </c>
      <c r="BV47" s="177">
        <v>20</v>
      </c>
      <c r="BW47" s="177">
        <v>54</v>
      </c>
      <c r="BX47" s="177">
        <v>30</v>
      </c>
      <c r="BY47" s="177">
        <v>44</v>
      </c>
      <c r="BZ47" s="177">
        <v>70</v>
      </c>
      <c r="CA47" s="177">
        <v>24</v>
      </c>
      <c r="CB47" s="179">
        <v>27</v>
      </c>
      <c r="CC47" s="177">
        <v>36</v>
      </c>
      <c r="CD47" s="177">
        <v>66</v>
      </c>
      <c r="CE47" s="177">
        <v>47</v>
      </c>
      <c r="CF47" s="177">
        <v>186</v>
      </c>
      <c r="CG47" s="177">
        <v>120</v>
      </c>
      <c r="CH47" s="177">
        <v>103</v>
      </c>
      <c r="CI47" s="177">
        <v>68</v>
      </c>
      <c r="CJ47" s="177">
        <v>88</v>
      </c>
      <c r="CK47" s="178">
        <v>81</v>
      </c>
      <c r="CL47" s="180">
        <v>74</v>
      </c>
    </row>
    <row r="48" spans="1:90">
      <c r="A48" s="93">
        <f>ROWS($A$3:A46)</f>
        <v>44</v>
      </c>
      <c r="B48" s="236" t="s">
        <v>258</v>
      </c>
      <c r="C48" s="242">
        <v>2007</v>
      </c>
      <c r="D48" s="314" t="s">
        <v>8</v>
      </c>
      <c r="E48" s="316">
        <v>40652</v>
      </c>
      <c r="F48" s="156">
        <v>21010</v>
      </c>
      <c r="G48" s="177">
        <v>12940</v>
      </c>
      <c r="H48" s="177">
        <v>15249</v>
      </c>
      <c r="I48" s="178">
        <v>18617</v>
      </c>
      <c r="J48" s="181"/>
      <c r="K48" s="156">
        <f t="shared" si="74"/>
        <v>3648</v>
      </c>
      <c r="L48" s="177">
        <f t="shared" si="75"/>
        <v>2101</v>
      </c>
      <c r="M48" s="177">
        <f t="shared" si="76"/>
        <v>973</v>
      </c>
      <c r="N48" s="177">
        <f t="shared" si="77"/>
        <v>1831</v>
      </c>
      <c r="O48" s="177">
        <f t="shared" si="78"/>
        <v>931</v>
      </c>
      <c r="P48" s="177">
        <f>AZ48+BA48</f>
        <v>1659</v>
      </c>
      <c r="Q48" s="177">
        <f>'2009'!AU48</f>
        <v>2372</v>
      </c>
      <c r="R48" s="177">
        <f>AT48+AX48</f>
        <v>2573</v>
      </c>
      <c r="S48" s="177">
        <f t="shared" si="79"/>
        <v>2186</v>
      </c>
      <c r="T48" s="177">
        <f t="shared" si="80"/>
        <v>917</v>
      </c>
      <c r="U48" s="179">
        <f t="shared" si="81"/>
        <v>1819</v>
      </c>
      <c r="V48" s="177">
        <f>BG48+BJ48</f>
        <v>839</v>
      </c>
      <c r="W48" s="177">
        <f t="shared" si="82"/>
        <v>1202</v>
      </c>
      <c r="X48" s="177">
        <f>BH48+BI48</f>
        <v>2766</v>
      </c>
      <c r="Y48" s="177">
        <f>BK48+BL48+BN48</f>
        <v>3143</v>
      </c>
      <c r="Z48" s="177">
        <f t="shared" si="83"/>
        <v>1855</v>
      </c>
      <c r="AA48" s="177">
        <f>BO48+BQ48</f>
        <v>1630</v>
      </c>
      <c r="AB48" s="179">
        <f t="shared" si="84"/>
        <v>1505</v>
      </c>
      <c r="AC48" s="177">
        <f t="shared" si="85"/>
        <v>1374</v>
      </c>
      <c r="AD48" s="177">
        <f t="shared" si="86"/>
        <v>1092</v>
      </c>
      <c r="AE48" s="177">
        <f>BS48+BT48</f>
        <v>2820</v>
      </c>
      <c r="AF48" s="177">
        <f t="shared" si="87"/>
        <v>1822</v>
      </c>
      <c r="AG48" s="177">
        <f t="shared" si="88"/>
        <v>1978</v>
      </c>
      <c r="AH48" s="177">
        <f t="shared" si="89"/>
        <v>1799</v>
      </c>
      <c r="AI48" s="177">
        <f t="shared" si="90"/>
        <v>1100</v>
      </c>
      <c r="AJ48" s="177">
        <f t="shared" si="91"/>
        <v>908</v>
      </c>
      <c r="AK48" s="179">
        <f t="shared" si="92"/>
        <v>2356</v>
      </c>
      <c r="AL48" s="177">
        <f t="shared" si="93"/>
        <v>1861</v>
      </c>
      <c r="AM48" s="177">
        <f t="shared" si="94"/>
        <v>2346</v>
      </c>
      <c r="AN48" s="177">
        <f t="shared" si="95"/>
        <v>4253</v>
      </c>
      <c r="AO48" s="177">
        <f t="shared" si="96"/>
        <v>2871</v>
      </c>
      <c r="AP48" s="177">
        <f t="shared" si="97"/>
        <v>986</v>
      </c>
      <c r="AQ48" s="177">
        <f t="shared" si="98"/>
        <v>1856</v>
      </c>
      <c r="AR48" s="177">
        <f t="shared" si="99"/>
        <v>1984</v>
      </c>
      <c r="AS48" s="178">
        <f>CF48+CG48</f>
        <v>2460</v>
      </c>
      <c r="AT48" s="177">
        <v>255</v>
      </c>
      <c r="AU48" s="181">
        <v>2372</v>
      </c>
      <c r="AV48" s="181">
        <v>2186</v>
      </c>
      <c r="AW48" s="181">
        <v>1831</v>
      </c>
      <c r="AX48" s="181">
        <v>2318</v>
      </c>
      <c r="AY48" s="177">
        <v>2101</v>
      </c>
      <c r="AZ48" s="177">
        <v>41</v>
      </c>
      <c r="BA48" s="177">
        <v>1618</v>
      </c>
      <c r="BB48" s="177">
        <v>917</v>
      </c>
      <c r="BC48" s="177">
        <v>1819</v>
      </c>
      <c r="BD48" s="177">
        <v>973</v>
      </c>
      <c r="BE48" s="177">
        <v>931</v>
      </c>
      <c r="BF48" s="179">
        <v>3648</v>
      </c>
      <c r="BG48" s="177">
        <v>61</v>
      </c>
      <c r="BH48" s="177">
        <v>171</v>
      </c>
      <c r="BI48" s="177">
        <v>2595</v>
      </c>
      <c r="BJ48" s="177">
        <v>778</v>
      </c>
      <c r="BK48" s="177">
        <v>176</v>
      </c>
      <c r="BL48" s="177">
        <v>444</v>
      </c>
      <c r="BM48" s="177">
        <v>1855</v>
      </c>
      <c r="BN48" s="177">
        <v>2523</v>
      </c>
      <c r="BO48" s="177">
        <v>173</v>
      </c>
      <c r="BP48" s="177">
        <v>1505</v>
      </c>
      <c r="BQ48" s="177">
        <v>1457</v>
      </c>
      <c r="BR48" s="179">
        <v>1202</v>
      </c>
      <c r="BS48" s="177">
        <v>214</v>
      </c>
      <c r="BT48" s="177">
        <v>2606</v>
      </c>
      <c r="BU48" s="177">
        <v>1092</v>
      </c>
      <c r="BV48" s="177">
        <v>1978</v>
      </c>
      <c r="BW48" s="177">
        <v>1100</v>
      </c>
      <c r="BX48" s="177">
        <v>1374</v>
      </c>
      <c r="BY48" s="177">
        <v>908</v>
      </c>
      <c r="BZ48" s="177">
        <v>1799</v>
      </c>
      <c r="CA48" s="177">
        <v>1822</v>
      </c>
      <c r="CB48" s="179">
        <v>2356</v>
      </c>
      <c r="CC48" s="177">
        <v>2871</v>
      </c>
      <c r="CD48" s="177">
        <v>986</v>
      </c>
      <c r="CE48" s="177">
        <v>1861</v>
      </c>
      <c r="CF48" s="177">
        <v>249</v>
      </c>
      <c r="CG48" s="177">
        <v>2211</v>
      </c>
      <c r="CH48" s="177">
        <v>2346</v>
      </c>
      <c r="CI48" s="177">
        <v>1984</v>
      </c>
      <c r="CJ48" s="177">
        <v>4253</v>
      </c>
      <c r="CK48" s="178">
        <v>1856</v>
      </c>
      <c r="CL48" s="180">
        <v>67816</v>
      </c>
    </row>
    <row r="49" spans="1:90">
      <c r="A49" s="93">
        <f>ROWS($A$3:A47)</f>
        <v>45</v>
      </c>
      <c r="B49" s="106" t="s">
        <v>80</v>
      </c>
      <c r="C49" s="242">
        <v>2007</v>
      </c>
      <c r="D49" s="314" t="s">
        <v>8</v>
      </c>
      <c r="E49" s="316">
        <v>40652</v>
      </c>
      <c r="F49" s="156">
        <v>89942</v>
      </c>
      <c r="G49" s="177">
        <v>37333</v>
      </c>
      <c r="H49" s="177">
        <v>58301</v>
      </c>
      <c r="I49" s="178">
        <v>80552</v>
      </c>
      <c r="J49" s="181"/>
      <c r="K49" s="156">
        <f t="shared" si="74"/>
        <v>11991</v>
      </c>
      <c r="L49" s="177">
        <f t="shared" si="75"/>
        <v>7878</v>
      </c>
      <c r="M49" s="177">
        <f t="shared" si="76"/>
        <v>5265</v>
      </c>
      <c r="N49" s="177">
        <f t="shared" si="77"/>
        <v>10904</v>
      </c>
      <c r="O49" s="177">
        <f t="shared" si="78"/>
        <v>9890</v>
      </c>
      <c r="P49" s="177">
        <f>AZ49+BA49</f>
        <v>8353</v>
      </c>
      <c r="Q49" s="177" t="str">
        <f>'2009'!AU49</f>
        <v>*</v>
      </c>
      <c r="R49" s="177">
        <f>AX49</f>
        <v>3392</v>
      </c>
      <c r="S49" s="177">
        <f t="shared" si="79"/>
        <v>15210</v>
      </c>
      <c r="T49" s="177">
        <f t="shared" si="80"/>
        <v>5129</v>
      </c>
      <c r="U49" s="179">
        <f t="shared" si="81"/>
        <v>11930</v>
      </c>
      <c r="V49" s="177">
        <f>BG49+BJ49</f>
        <v>4810</v>
      </c>
      <c r="W49" s="177">
        <f t="shared" si="82"/>
        <v>8680</v>
      </c>
      <c r="X49" s="177">
        <f>BI49</f>
        <v>4163</v>
      </c>
      <c r="Y49" s="177">
        <f>BK49+BN49</f>
        <v>5602</v>
      </c>
      <c r="Z49" s="177">
        <f t="shared" si="83"/>
        <v>3542</v>
      </c>
      <c r="AA49" s="177">
        <f>BQ49</f>
        <v>1825</v>
      </c>
      <c r="AB49" s="179">
        <f t="shared" si="84"/>
        <v>8711</v>
      </c>
      <c r="AC49" s="177">
        <f t="shared" si="85"/>
        <v>4487</v>
      </c>
      <c r="AD49" s="177">
        <f t="shared" si="86"/>
        <v>2542</v>
      </c>
      <c r="AE49" s="177">
        <f>BS49+BT49</f>
        <v>10824</v>
      </c>
      <c r="AF49" s="177">
        <f t="shared" si="87"/>
        <v>6289</v>
      </c>
      <c r="AG49" s="177">
        <f t="shared" si="88"/>
        <v>8615</v>
      </c>
      <c r="AH49" s="177">
        <f t="shared" si="89"/>
        <v>4780</v>
      </c>
      <c r="AI49" s="177">
        <f t="shared" si="90"/>
        <v>8579</v>
      </c>
      <c r="AJ49" s="177">
        <f t="shared" si="91"/>
        <v>5877</v>
      </c>
      <c r="AK49" s="179">
        <f t="shared" si="92"/>
        <v>6308</v>
      </c>
      <c r="AL49" s="177">
        <f t="shared" si="93"/>
        <v>16954</v>
      </c>
      <c r="AM49" s="177">
        <f t="shared" si="94"/>
        <v>6344</v>
      </c>
      <c r="AN49" s="177">
        <f t="shared" si="95"/>
        <v>5993</v>
      </c>
      <c r="AO49" s="177">
        <f t="shared" si="96"/>
        <v>21478</v>
      </c>
      <c r="AP49" s="177">
        <f t="shared" si="97"/>
        <v>6610</v>
      </c>
      <c r="AQ49" s="177">
        <f t="shared" si="98"/>
        <v>5780</v>
      </c>
      <c r="AR49" s="177">
        <f t="shared" si="99"/>
        <v>5166</v>
      </c>
      <c r="AS49" s="178">
        <f>CF49+CG49</f>
        <v>12227</v>
      </c>
      <c r="AT49" s="181" t="s">
        <v>252</v>
      </c>
      <c r="AU49" s="177" t="s">
        <v>252</v>
      </c>
      <c r="AV49" s="181">
        <v>15210</v>
      </c>
      <c r="AW49" s="181">
        <v>10904</v>
      </c>
      <c r="AX49" s="181">
        <v>3392</v>
      </c>
      <c r="AY49" s="177">
        <v>7878</v>
      </c>
      <c r="AZ49" s="177">
        <v>0</v>
      </c>
      <c r="BA49" s="177">
        <v>8353</v>
      </c>
      <c r="BB49" s="177">
        <v>5129</v>
      </c>
      <c r="BC49" s="177">
        <v>11930</v>
      </c>
      <c r="BD49" s="177">
        <v>5265</v>
      </c>
      <c r="BE49" s="177">
        <v>9890</v>
      </c>
      <c r="BF49" s="179">
        <v>11991</v>
      </c>
      <c r="BG49" s="177">
        <v>1814</v>
      </c>
      <c r="BH49" s="177" t="s">
        <v>252</v>
      </c>
      <c r="BI49" s="177">
        <v>4163</v>
      </c>
      <c r="BJ49" s="177">
        <v>2996</v>
      </c>
      <c r="BK49" s="177">
        <v>107</v>
      </c>
      <c r="BL49" s="177" t="s">
        <v>252</v>
      </c>
      <c r="BM49" s="177">
        <v>3542</v>
      </c>
      <c r="BN49" s="177">
        <v>5495</v>
      </c>
      <c r="BO49" s="177" t="s">
        <v>252</v>
      </c>
      <c r="BP49" s="177">
        <v>8711</v>
      </c>
      <c r="BQ49" s="177">
        <v>1825</v>
      </c>
      <c r="BR49" s="179">
        <v>8680</v>
      </c>
      <c r="BS49" s="177">
        <v>3705</v>
      </c>
      <c r="BT49" s="177">
        <v>7119</v>
      </c>
      <c r="BU49" s="177">
        <v>2542</v>
      </c>
      <c r="BV49" s="177">
        <v>8615</v>
      </c>
      <c r="BW49" s="177">
        <v>8579</v>
      </c>
      <c r="BX49" s="177">
        <v>4487</v>
      </c>
      <c r="BY49" s="177">
        <v>5877</v>
      </c>
      <c r="BZ49" s="177">
        <v>4780</v>
      </c>
      <c r="CA49" s="177">
        <v>6289</v>
      </c>
      <c r="CB49" s="179">
        <v>6308</v>
      </c>
      <c r="CC49" s="177">
        <v>21478</v>
      </c>
      <c r="CD49" s="177">
        <v>6610</v>
      </c>
      <c r="CE49" s="177">
        <v>16954</v>
      </c>
      <c r="CF49" s="177">
        <v>372</v>
      </c>
      <c r="CG49" s="177">
        <v>11855</v>
      </c>
      <c r="CH49" s="177">
        <v>6344</v>
      </c>
      <c r="CI49" s="177">
        <v>5166</v>
      </c>
      <c r="CJ49" s="177">
        <v>5993</v>
      </c>
      <c r="CK49" s="178">
        <v>5780</v>
      </c>
      <c r="CL49" s="180">
        <v>274311</v>
      </c>
    </row>
    <row r="50" spans="1:90">
      <c r="A50" s="93">
        <f>ROWS($A$3:A48)</f>
        <v>46</v>
      </c>
      <c r="B50" s="106" t="s">
        <v>81</v>
      </c>
      <c r="C50" s="242">
        <v>2007</v>
      </c>
      <c r="D50" s="314" t="s">
        <v>22</v>
      </c>
      <c r="E50" s="333"/>
      <c r="F50" s="156">
        <v>81</v>
      </c>
      <c r="G50" s="177">
        <v>45</v>
      </c>
      <c r="H50" s="177">
        <v>63</v>
      </c>
      <c r="I50" s="178">
        <v>95</v>
      </c>
      <c r="J50" s="181"/>
      <c r="K50" s="156">
        <f t="shared" si="74"/>
        <v>111</v>
      </c>
      <c r="L50" s="177">
        <f t="shared" si="75"/>
        <v>81</v>
      </c>
      <c r="M50" s="177">
        <f t="shared" si="76"/>
        <v>48</v>
      </c>
      <c r="N50" s="177">
        <f t="shared" si="77"/>
        <v>98</v>
      </c>
      <c r="O50" s="177">
        <f t="shared" si="78"/>
        <v>91</v>
      </c>
      <c r="P50" s="183">
        <f>(AZ50*AZ35+BA50*BA35)/P35</f>
        <v>30.653188206771443</v>
      </c>
      <c r="Q50" s="177">
        <f>'2009'!AU50</f>
        <v>53</v>
      </c>
      <c r="R50" s="183">
        <f>(AT50*AT35+AX50*AX35)/R35</f>
        <v>53.913272722090802</v>
      </c>
      <c r="S50" s="177">
        <f t="shared" si="79"/>
        <v>58</v>
      </c>
      <c r="T50" s="177">
        <f t="shared" si="80"/>
        <v>94</v>
      </c>
      <c r="U50" s="179">
        <f t="shared" si="81"/>
        <v>130</v>
      </c>
      <c r="V50" s="183">
        <f>(BG50*BG35+BJ50*BJ35)/V35</f>
        <v>23.895006016847173</v>
      </c>
      <c r="W50" s="177">
        <f t="shared" si="82"/>
        <v>66</v>
      </c>
      <c r="X50" s="183">
        <f>(BH50*BH35+BI50*BI35)/X35</f>
        <v>23</v>
      </c>
      <c r="Y50" s="183">
        <f>(BK50*BK35+BL50*BL35+BN50*BN35)/Y35</f>
        <v>41.784437531918847</v>
      </c>
      <c r="Z50" s="177">
        <f t="shared" si="83"/>
        <v>55</v>
      </c>
      <c r="AA50" s="183">
        <f>(BO50*BO35+BQ50*BQ35)/AA35</f>
        <v>51.704883859440145</v>
      </c>
      <c r="AB50" s="179">
        <f t="shared" si="84"/>
        <v>67</v>
      </c>
      <c r="AC50" s="177">
        <f t="shared" si="85"/>
        <v>73</v>
      </c>
      <c r="AD50" s="177">
        <f t="shared" si="86"/>
        <v>61</v>
      </c>
      <c r="AE50" s="183">
        <f>(BS50*BS35+BT50*BT35)/AE35</f>
        <v>54.127943602819862</v>
      </c>
      <c r="AF50" s="177">
        <f t="shared" si="87"/>
        <v>64</v>
      </c>
      <c r="AG50" s="177">
        <f t="shared" si="88"/>
        <v>52</v>
      </c>
      <c r="AH50" s="177">
        <f t="shared" si="89"/>
        <v>69</v>
      </c>
      <c r="AI50" s="177">
        <f t="shared" si="90"/>
        <v>65</v>
      </c>
      <c r="AJ50" s="177">
        <f t="shared" si="91"/>
        <v>60</v>
      </c>
      <c r="AK50" s="179">
        <f t="shared" si="92"/>
        <v>80</v>
      </c>
      <c r="AL50" s="177">
        <f t="shared" si="93"/>
        <v>42</v>
      </c>
      <c r="AM50" s="177">
        <f t="shared" si="94"/>
        <v>115</v>
      </c>
      <c r="AN50" s="177">
        <f t="shared" si="95"/>
        <v>142</v>
      </c>
      <c r="AO50" s="177">
        <f t="shared" si="96"/>
        <v>67</v>
      </c>
      <c r="AP50" s="177">
        <f t="shared" si="97"/>
        <v>39</v>
      </c>
      <c r="AQ50" s="177">
        <f t="shared" si="98"/>
        <v>79</v>
      </c>
      <c r="AR50" s="177">
        <f t="shared" si="99"/>
        <v>72</v>
      </c>
      <c r="AS50" s="184">
        <f>(CF50*CF35+CG50*CG35)/AS35</f>
        <v>98.34433179953362</v>
      </c>
      <c r="AT50" s="177">
        <v>40</v>
      </c>
      <c r="AU50" s="181">
        <v>53</v>
      </c>
      <c r="AV50" s="181">
        <v>58</v>
      </c>
      <c r="AW50" s="181">
        <v>98</v>
      </c>
      <c r="AX50" s="181">
        <v>55</v>
      </c>
      <c r="AY50" s="177">
        <v>81</v>
      </c>
      <c r="AZ50" s="177">
        <v>13</v>
      </c>
      <c r="BA50" s="177">
        <v>32</v>
      </c>
      <c r="BB50" s="177">
        <v>94</v>
      </c>
      <c r="BC50" s="177">
        <v>130</v>
      </c>
      <c r="BD50" s="177">
        <v>48</v>
      </c>
      <c r="BE50" s="177">
        <v>91</v>
      </c>
      <c r="BF50" s="179">
        <v>111</v>
      </c>
      <c r="BG50" s="177">
        <v>23</v>
      </c>
      <c r="BH50" s="177">
        <v>23</v>
      </c>
      <c r="BI50" s="177">
        <v>23</v>
      </c>
      <c r="BJ50" s="177">
        <v>24</v>
      </c>
      <c r="BK50" s="177">
        <v>43</v>
      </c>
      <c r="BL50" s="177">
        <v>24</v>
      </c>
      <c r="BM50" s="177">
        <v>55</v>
      </c>
      <c r="BN50" s="177">
        <v>43</v>
      </c>
      <c r="BO50" s="177">
        <v>46</v>
      </c>
      <c r="BP50" s="177">
        <v>67</v>
      </c>
      <c r="BQ50" s="177">
        <v>52</v>
      </c>
      <c r="BR50" s="179">
        <v>66</v>
      </c>
      <c r="BS50" s="177">
        <v>28</v>
      </c>
      <c r="BT50" s="177">
        <v>56</v>
      </c>
      <c r="BU50" s="177">
        <v>61</v>
      </c>
      <c r="BV50" s="177">
        <v>52</v>
      </c>
      <c r="BW50" s="177">
        <v>65</v>
      </c>
      <c r="BX50" s="177">
        <v>73</v>
      </c>
      <c r="BY50" s="177">
        <v>60</v>
      </c>
      <c r="BZ50" s="177">
        <v>69</v>
      </c>
      <c r="CA50" s="177">
        <v>64</v>
      </c>
      <c r="CB50" s="179">
        <v>80</v>
      </c>
      <c r="CC50" s="177">
        <v>67</v>
      </c>
      <c r="CD50" s="177">
        <v>39</v>
      </c>
      <c r="CE50" s="177">
        <v>42</v>
      </c>
      <c r="CF50" s="177">
        <v>88</v>
      </c>
      <c r="CG50" s="177">
        <v>99</v>
      </c>
      <c r="CH50" s="177">
        <v>115</v>
      </c>
      <c r="CI50" s="177">
        <v>72</v>
      </c>
      <c r="CJ50" s="177">
        <v>142</v>
      </c>
      <c r="CK50" s="178">
        <v>79</v>
      </c>
      <c r="CL50" s="180">
        <v>76</v>
      </c>
    </row>
    <row r="51" spans="1:90">
      <c r="A51" s="93">
        <f>ROWS($A$3:A49)</f>
        <v>47</v>
      </c>
      <c r="B51" s="62" t="s">
        <v>103</v>
      </c>
      <c r="C51" s="312">
        <f>C95</f>
        <v>2009</v>
      </c>
      <c r="D51" s="314" t="s">
        <v>10</v>
      </c>
      <c r="E51" s="316">
        <v>40441</v>
      </c>
      <c r="F51" s="182">
        <f>ROUND(F96/F95*1000,0)</f>
        <v>6203</v>
      </c>
      <c r="G51" s="183">
        <f>ROUND(G96/G95*1000,0)</f>
        <v>5987</v>
      </c>
      <c r="H51" s="183">
        <f>ROUND(H96/H95*1000,0)</f>
        <v>5661</v>
      </c>
      <c r="I51" s="184">
        <f>ROUND(I96/I95*1000,0)</f>
        <v>6452</v>
      </c>
      <c r="J51" s="181"/>
      <c r="K51" s="185">
        <f t="shared" si="74"/>
        <v>6664</v>
      </c>
      <c r="L51" s="186">
        <f t="shared" si="75"/>
        <v>6321</v>
      </c>
      <c r="M51" s="186">
        <f t="shared" si="76"/>
        <v>6100</v>
      </c>
      <c r="N51" s="186">
        <f t="shared" si="77"/>
        <v>5644</v>
      </c>
      <c r="O51" s="186">
        <f t="shared" si="78"/>
        <v>5777</v>
      </c>
      <c r="P51" s="183">
        <f>ROUND(P96/P95*1000,0)</f>
        <v>6006</v>
      </c>
      <c r="Q51" s="186">
        <f>'2009'!AU51</f>
        <v>5930</v>
      </c>
      <c r="R51" s="183">
        <f>ROUND(R96/R95*1000,0)</f>
        <v>6248</v>
      </c>
      <c r="S51" s="186">
        <f t="shared" si="79"/>
        <v>4699</v>
      </c>
      <c r="T51" s="186">
        <f t="shared" si="80"/>
        <v>6104</v>
      </c>
      <c r="U51" s="187">
        <f t="shared" si="81"/>
        <v>6389</v>
      </c>
      <c r="V51" s="183">
        <f>ROUND(V96/V95*1000,0)</f>
        <v>4306</v>
      </c>
      <c r="W51" s="186">
        <f t="shared" si="82"/>
        <v>5861</v>
      </c>
      <c r="X51" s="183">
        <f>ROUND(X96/X95*1000,0)</f>
        <v>5207</v>
      </c>
      <c r="Y51" s="183">
        <f>ROUND(Y96/Y95*1000,0)</f>
        <v>6010</v>
      </c>
      <c r="Z51" s="186">
        <f t="shared" si="83"/>
        <v>6156</v>
      </c>
      <c r="AA51" s="183">
        <f>ROUND(AA96/AA95*1000,0)</f>
        <v>6299</v>
      </c>
      <c r="AB51" s="187">
        <f t="shared" si="84"/>
        <v>5953</v>
      </c>
      <c r="AC51" s="186">
        <f t="shared" si="85"/>
        <v>5545</v>
      </c>
      <c r="AD51" s="186">
        <f t="shared" si="86"/>
        <v>5161</v>
      </c>
      <c r="AE51" s="183">
        <f>ROUND(AE96/AE95*1000,0)</f>
        <v>5628</v>
      </c>
      <c r="AF51" s="186">
        <f t="shared" si="87"/>
        <v>5036</v>
      </c>
      <c r="AG51" s="186">
        <f t="shared" si="88"/>
        <v>4802</v>
      </c>
      <c r="AH51" s="186">
        <f t="shared" si="89"/>
        <v>6494</v>
      </c>
      <c r="AI51" s="186">
        <f t="shared" si="90"/>
        <v>5401</v>
      </c>
      <c r="AJ51" s="186">
        <f t="shared" si="91"/>
        <v>6324</v>
      </c>
      <c r="AK51" s="187">
        <f t="shared" si="92"/>
        <v>6036</v>
      </c>
      <c r="AL51" s="186">
        <f t="shared" si="93"/>
        <v>6842</v>
      </c>
      <c r="AM51" s="186">
        <f t="shared" si="94"/>
        <v>6406</v>
      </c>
      <c r="AN51" s="186">
        <f t="shared" si="95"/>
        <v>6680</v>
      </c>
      <c r="AO51" s="186">
        <f t="shared" si="96"/>
        <v>6045</v>
      </c>
      <c r="AP51" s="186">
        <f t="shared" si="97"/>
        <v>5638</v>
      </c>
      <c r="AQ51" s="186">
        <f t="shared" si="98"/>
        <v>6140</v>
      </c>
      <c r="AR51" s="186">
        <f t="shared" si="99"/>
        <v>6147</v>
      </c>
      <c r="AS51" s="184">
        <f>ROUND(AS96/AS95*1000,0)</f>
        <v>6291</v>
      </c>
      <c r="AT51" s="183">
        <f>IF(ISERROR(AT96/AT95)=TRUE,0,ROUND(AT96/AT95*1000,0))</f>
        <v>0</v>
      </c>
      <c r="AU51" s="183">
        <f t="shared" ref="AU51:CL51" si="102">IF(ISERROR(AU96/AU95)=TRUE,0,ROUND(AU96/AU95*1000,0))</f>
        <v>5930</v>
      </c>
      <c r="AV51" s="183">
        <f t="shared" si="102"/>
        <v>4699</v>
      </c>
      <c r="AW51" s="183">
        <f t="shared" si="102"/>
        <v>5644</v>
      </c>
      <c r="AX51" s="183">
        <f t="shared" si="102"/>
        <v>6248</v>
      </c>
      <c r="AY51" s="183">
        <f t="shared" si="102"/>
        <v>6321</v>
      </c>
      <c r="AZ51" s="183">
        <f t="shared" si="102"/>
        <v>0</v>
      </c>
      <c r="BA51" s="183">
        <f t="shared" si="102"/>
        <v>6006</v>
      </c>
      <c r="BB51" s="183">
        <f t="shared" si="102"/>
        <v>6104</v>
      </c>
      <c r="BC51" s="183">
        <f t="shared" si="102"/>
        <v>6389</v>
      </c>
      <c r="BD51" s="183">
        <f t="shared" si="102"/>
        <v>6100</v>
      </c>
      <c r="BE51" s="183">
        <f t="shared" si="102"/>
        <v>5777</v>
      </c>
      <c r="BF51" s="188">
        <f t="shared" si="102"/>
        <v>6664</v>
      </c>
      <c r="BG51" s="183">
        <f t="shared" si="102"/>
        <v>0</v>
      </c>
      <c r="BH51" s="183">
        <f t="shared" si="102"/>
        <v>0</v>
      </c>
      <c r="BI51" s="183">
        <f t="shared" si="102"/>
        <v>5207</v>
      </c>
      <c r="BJ51" s="183">
        <f t="shared" si="102"/>
        <v>4306</v>
      </c>
      <c r="BK51" s="183">
        <f t="shared" si="102"/>
        <v>0</v>
      </c>
      <c r="BL51" s="183">
        <f t="shared" si="102"/>
        <v>0</v>
      </c>
      <c r="BM51" s="183">
        <f t="shared" si="102"/>
        <v>6156</v>
      </c>
      <c r="BN51" s="183">
        <f t="shared" si="102"/>
        <v>6010</v>
      </c>
      <c r="BO51" s="183">
        <f t="shared" si="102"/>
        <v>0</v>
      </c>
      <c r="BP51" s="183">
        <f t="shared" si="102"/>
        <v>5953</v>
      </c>
      <c r="BQ51" s="183">
        <f t="shared" si="102"/>
        <v>6299</v>
      </c>
      <c r="BR51" s="188">
        <f t="shared" si="102"/>
        <v>5861</v>
      </c>
      <c r="BS51" s="183">
        <f t="shared" si="102"/>
        <v>0</v>
      </c>
      <c r="BT51" s="183">
        <f t="shared" si="102"/>
        <v>5628</v>
      </c>
      <c r="BU51" s="183">
        <f t="shared" si="102"/>
        <v>5161</v>
      </c>
      <c r="BV51" s="183">
        <f t="shared" si="102"/>
        <v>4802</v>
      </c>
      <c r="BW51" s="183">
        <f t="shared" si="102"/>
        <v>5401</v>
      </c>
      <c r="BX51" s="183">
        <f t="shared" si="102"/>
        <v>5545</v>
      </c>
      <c r="BY51" s="183">
        <f t="shared" si="102"/>
        <v>6324</v>
      </c>
      <c r="BZ51" s="183">
        <f t="shared" si="102"/>
        <v>6494</v>
      </c>
      <c r="CA51" s="183">
        <f t="shared" si="102"/>
        <v>5036</v>
      </c>
      <c r="CB51" s="188">
        <f t="shared" si="102"/>
        <v>6036</v>
      </c>
      <c r="CC51" s="183">
        <f t="shared" si="102"/>
        <v>6045</v>
      </c>
      <c r="CD51" s="183">
        <f t="shared" si="102"/>
        <v>5638</v>
      </c>
      <c r="CE51" s="183">
        <f t="shared" si="102"/>
        <v>6842</v>
      </c>
      <c r="CF51" s="183">
        <f t="shared" si="102"/>
        <v>0</v>
      </c>
      <c r="CG51" s="183">
        <f t="shared" si="102"/>
        <v>6291</v>
      </c>
      <c r="CH51" s="183">
        <f t="shared" si="102"/>
        <v>6406</v>
      </c>
      <c r="CI51" s="183">
        <f t="shared" si="102"/>
        <v>6147</v>
      </c>
      <c r="CJ51" s="183">
        <f t="shared" si="102"/>
        <v>6680</v>
      </c>
      <c r="CK51" s="184">
        <f t="shared" si="102"/>
        <v>6140</v>
      </c>
      <c r="CL51" s="183">
        <f t="shared" si="102"/>
        <v>6198</v>
      </c>
    </row>
    <row r="52" spans="1:90">
      <c r="A52" s="93">
        <f>ROWS($A$3:A50)</f>
        <v>48</v>
      </c>
      <c r="B52" s="62" t="s">
        <v>104</v>
      </c>
      <c r="C52" s="312"/>
      <c r="D52" s="314" t="s">
        <v>11</v>
      </c>
      <c r="E52" s="316">
        <v>40441</v>
      </c>
      <c r="F52" s="182">
        <f>F97</f>
        <v>608471</v>
      </c>
      <c r="G52" s="183">
        <f>G97</f>
        <v>140095</v>
      </c>
      <c r="H52" s="183">
        <f>H97</f>
        <v>360260</v>
      </c>
      <c r="I52" s="184">
        <f>I97</f>
        <v>994925</v>
      </c>
      <c r="J52" s="181"/>
      <c r="K52" s="185">
        <f t="shared" si="74"/>
        <v>159971</v>
      </c>
      <c r="L52" s="186">
        <f t="shared" si="75"/>
        <v>41908</v>
      </c>
      <c r="M52" s="186">
        <f t="shared" si="76"/>
        <v>42642</v>
      </c>
      <c r="N52" s="186">
        <f t="shared" si="77"/>
        <v>56014</v>
      </c>
      <c r="O52" s="186">
        <f t="shared" si="78"/>
        <v>43776</v>
      </c>
      <c r="P52" s="183">
        <f>AZ52+BA52</f>
        <v>28119</v>
      </c>
      <c r="Q52" s="186">
        <f>'2009'!AU52</f>
        <v>16912</v>
      </c>
      <c r="R52" s="183">
        <f>AT52+AX52</f>
        <v>29907</v>
      </c>
      <c r="S52" s="186">
        <f t="shared" si="79"/>
        <v>12238</v>
      </c>
      <c r="T52" s="186">
        <f t="shared" si="80"/>
        <v>42936</v>
      </c>
      <c r="U52" s="187">
        <f t="shared" si="81"/>
        <v>134048</v>
      </c>
      <c r="V52" s="183">
        <f>BG52+BJ52</f>
        <v>1718</v>
      </c>
      <c r="W52" s="186">
        <f t="shared" si="82"/>
        <v>21953</v>
      </c>
      <c r="X52" s="183">
        <f>BH52+BI52</f>
        <v>6755</v>
      </c>
      <c r="Y52" s="183">
        <f>BK52+BL52+BN52</f>
        <v>22996</v>
      </c>
      <c r="Z52" s="186">
        <f t="shared" si="83"/>
        <v>48791</v>
      </c>
      <c r="AA52" s="183">
        <f>BO52+BQ52</f>
        <v>17554</v>
      </c>
      <c r="AB52" s="187">
        <f t="shared" si="84"/>
        <v>20328</v>
      </c>
      <c r="AC52" s="186">
        <f t="shared" si="85"/>
        <v>62172</v>
      </c>
      <c r="AD52" s="186">
        <f t="shared" si="86"/>
        <v>17865</v>
      </c>
      <c r="AE52" s="183">
        <f>BS52+BT52</f>
        <v>53867</v>
      </c>
      <c r="AF52" s="186">
        <f t="shared" si="87"/>
        <v>17624</v>
      </c>
      <c r="AG52" s="186">
        <f t="shared" si="88"/>
        <v>38234</v>
      </c>
      <c r="AH52" s="186">
        <f t="shared" si="89"/>
        <v>55673</v>
      </c>
      <c r="AI52" s="186">
        <f t="shared" si="90"/>
        <v>26815</v>
      </c>
      <c r="AJ52" s="186">
        <f t="shared" si="91"/>
        <v>30998</v>
      </c>
      <c r="AK52" s="187">
        <f t="shared" si="92"/>
        <v>57012</v>
      </c>
      <c r="AL52" s="186">
        <f t="shared" si="93"/>
        <v>20489</v>
      </c>
      <c r="AM52" s="186">
        <f t="shared" si="94"/>
        <v>215226</v>
      </c>
      <c r="AN52" s="186">
        <f t="shared" si="95"/>
        <v>443090</v>
      </c>
      <c r="AO52" s="186">
        <f t="shared" si="96"/>
        <v>49147</v>
      </c>
      <c r="AP52" s="186">
        <f t="shared" si="97"/>
        <v>9147</v>
      </c>
      <c r="AQ52" s="186">
        <f t="shared" si="98"/>
        <v>77225</v>
      </c>
      <c r="AR52" s="186">
        <f t="shared" si="99"/>
        <v>63894</v>
      </c>
      <c r="AS52" s="184">
        <f>CF52+CG52</f>
        <v>116707</v>
      </c>
      <c r="AT52" s="183">
        <f t="shared" ref="AT52:BF52" si="103">AT97</f>
        <v>0</v>
      </c>
      <c r="AU52" s="183">
        <f t="shared" si="103"/>
        <v>16912</v>
      </c>
      <c r="AV52" s="183">
        <f t="shared" si="103"/>
        <v>12238</v>
      </c>
      <c r="AW52" s="183">
        <f t="shared" si="103"/>
        <v>56014</v>
      </c>
      <c r="AX52" s="183">
        <f t="shared" si="103"/>
        <v>29907</v>
      </c>
      <c r="AY52" s="183">
        <f t="shared" si="103"/>
        <v>41908</v>
      </c>
      <c r="AZ52" s="183">
        <f t="shared" si="103"/>
        <v>0</v>
      </c>
      <c r="BA52" s="183">
        <f t="shared" si="103"/>
        <v>28119</v>
      </c>
      <c r="BB52" s="183">
        <f t="shared" si="103"/>
        <v>42936</v>
      </c>
      <c r="BC52" s="183">
        <f t="shared" si="103"/>
        <v>134048</v>
      </c>
      <c r="BD52" s="183">
        <f t="shared" si="103"/>
        <v>42642</v>
      </c>
      <c r="BE52" s="183">
        <f t="shared" si="103"/>
        <v>43776</v>
      </c>
      <c r="BF52" s="188">
        <f t="shared" si="103"/>
        <v>159971</v>
      </c>
      <c r="BG52" s="183">
        <v>0</v>
      </c>
      <c r="BH52" s="183">
        <f t="shared" ref="BH52:CK52" si="104">BH97</f>
        <v>0</v>
      </c>
      <c r="BI52" s="183">
        <f t="shared" si="104"/>
        <v>6755</v>
      </c>
      <c r="BJ52" s="183">
        <f t="shared" si="104"/>
        <v>1718</v>
      </c>
      <c r="BK52" s="183">
        <f t="shared" si="104"/>
        <v>0</v>
      </c>
      <c r="BL52" s="183">
        <f t="shared" si="104"/>
        <v>0</v>
      </c>
      <c r="BM52" s="183">
        <f t="shared" si="104"/>
        <v>48791</v>
      </c>
      <c r="BN52" s="183">
        <f t="shared" si="104"/>
        <v>22996</v>
      </c>
      <c r="BO52" s="183">
        <f t="shared" si="104"/>
        <v>0</v>
      </c>
      <c r="BP52" s="183">
        <f t="shared" si="104"/>
        <v>20328</v>
      </c>
      <c r="BQ52" s="183">
        <f t="shared" si="104"/>
        <v>17554</v>
      </c>
      <c r="BR52" s="188">
        <f t="shared" si="104"/>
        <v>21953</v>
      </c>
      <c r="BS52" s="183">
        <f t="shared" si="104"/>
        <v>0</v>
      </c>
      <c r="BT52" s="183">
        <f t="shared" si="104"/>
        <v>53867</v>
      </c>
      <c r="BU52" s="183">
        <f t="shared" si="104"/>
        <v>17865</v>
      </c>
      <c r="BV52" s="183">
        <f t="shared" si="104"/>
        <v>38234</v>
      </c>
      <c r="BW52" s="183">
        <f t="shared" si="104"/>
        <v>26815</v>
      </c>
      <c r="BX52" s="183">
        <f t="shared" si="104"/>
        <v>62172</v>
      </c>
      <c r="BY52" s="183">
        <f t="shared" si="104"/>
        <v>30998</v>
      </c>
      <c r="BZ52" s="183">
        <f t="shared" si="104"/>
        <v>55673</v>
      </c>
      <c r="CA52" s="183">
        <f t="shared" si="104"/>
        <v>17624</v>
      </c>
      <c r="CB52" s="188">
        <f t="shared" si="104"/>
        <v>57012</v>
      </c>
      <c r="CC52" s="183">
        <f t="shared" si="104"/>
        <v>49147</v>
      </c>
      <c r="CD52" s="183">
        <f t="shared" si="104"/>
        <v>9147</v>
      </c>
      <c r="CE52" s="183">
        <f t="shared" si="104"/>
        <v>20489</v>
      </c>
      <c r="CF52" s="183">
        <f t="shared" si="104"/>
        <v>0</v>
      </c>
      <c r="CG52" s="183">
        <f t="shared" si="104"/>
        <v>116707</v>
      </c>
      <c r="CH52" s="183">
        <f t="shared" si="104"/>
        <v>215226</v>
      </c>
      <c r="CI52" s="183">
        <f t="shared" si="104"/>
        <v>63894</v>
      </c>
      <c r="CJ52" s="183">
        <f t="shared" si="104"/>
        <v>443090</v>
      </c>
      <c r="CK52" s="184">
        <f t="shared" si="104"/>
        <v>77225</v>
      </c>
      <c r="CL52" s="189">
        <v>2117936</v>
      </c>
    </row>
    <row r="53" spans="1:90">
      <c r="A53" s="93">
        <f>ROWS($A$3:A51)</f>
        <v>49</v>
      </c>
      <c r="B53" s="62" t="str">
        <f>"Änderung der Milchanlieferung "&amp;C95&amp;" / "&amp;C98</f>
        <v>Änderung der Milchanlieferung 2009 / 2001</v>
      </c>
      <c r="C53" s="312"/>
      <c r="D53" s="314" t="s">
        <v>4</v>
      </c>
      <c r="E53" s="316">
        <v>40441</v>
      </c>
      <c r="F53" s="207">
        <f>IF(F52=0,0,(F52-F99)/F99%)</f>
        <v>-1.6795262294684625</v>
      </c>
      <c r="G53" s="208">
        <f>IF(G52=0,0,(G52-G99)/G99%)</f>
        <v>-5.9922831739640996</v>
      </c>
      <c r="H53" s="208">
        <f>IF(H52=0,0,(H52-H99)/H99%)</f>
        <v>-1.7288692246002433</v>
      </c>
      <c r="I53" s="209">
        <f>IF(I52=0,0,(I52-I99)/I99%)</f>
        <v>-1.4229847407129983</v>
      </c>
      <c r="J53" s="213"/>
      <c r="K53" s="218">
        <f t="shared" si="74"/>
        <v>6.1435054939221834</v>
      </c>
      <c r="L53" s="219">
        <f t="shared" si="75"/>
        <v>-2.1069843494510629</v>
      </c>
      <c r="M53" s="219">
        <f t="shared" si="76"/>
        <v>-7.2415218289791392</v>
      </c>
      <c r="N53" s="219">
        <f t="shared" si="77"/>
        <v>-3.0094195872004432</v>
      </c>
      <c r="O53" s="219">
        <f t="shared" si="78"/>
        <v>3.9834675407966933</v>
      </c>
      <c r="P53" s="208">
        <f>(P52-P99)/P99%</f>
        <v>-18.077729868313718</v>
      </c>
      <c r="Q53" s="219">
        <f>'2009'!AU53</f>
        <v>-8.2714107501220369</v>
      </c>
      <c r="R53" s="208">
        <f>(R52-R99)/R99%</f>
        <v>-5.65615141955836</v>
      </c>
      <c r="S53" s="219">
        <f t="shared" si="79"/>
        <v>-16.418522059827893</v>
      </c>
      <c r="T53" s="219">
        <f t="shared" si="80"/>
        <v>-4.6015064323327479</v>
      </c>
      <c r="U53" s="220">
        <f t="shared" si="81"/>
        <v>-1.0065651978052006</v>
      </c>
      <c r="V53" s="208">
        <f>(V52-V99)/V99%</f>
        <v>-38.96980461811723</v>
      </c>
      <c r="W53" s="219">
        <f t="shared" si="82"/>
        <v>-0.50308194343727342</v>
      </c>
      <c r="X53" s="208">
        <f>(X52-X99)/X99%</f>
        <v>-23.377949183303087</v>
      </c>
      <c r="Y53" s="208">
        <f>(Y52-Y99)/Y99%</f>
        <v>-11.226065472513897</v>
      </c>
      <c r="Z53" s="219">
        <f t="shared" si="83"/>
        <v>-5.717874396135266</v>
      </c>
      <c r="AA53" s="208">
        <f>(AA52-AA99)/AA99%</f>
        <v>8.2511100148001972</v>
      </c>
      <c r="AB53" s="220">
        <f t="shared" si="84"/>
        <v>-5.2749301025163096</v>
      </c>
      <c r="AC53" s="219">
        <f t="shared" si="85"/>
        <v>0.62147989900951639</v>
      </c>
      <c r="AD53" s="219">
        <f t="shared" si="86"/>
        <v>-8.1396544631838754</v>
      </c>
      <c r="AE53" s="208">
        <f>(AE52-AE99)/AE99%</f>
        <v>-2.4731591620951243</v>
      </c>
      <c r="AF53" s="219">
        <f t="shared" si="87"/>
        <v>-11.681282886494612</v>
      </c>
      <c r="AG53" s="219">
        <f t="shared" si="88"/>
        <v>-14.165768678160919</v>
      </c>
      <c r="AH53" s="219">
        <f t="shared" si="89"/>
        <v>3.8617241572300061</v>
      </c>
      <c r="AI53" s="219">
        <f t="shared" si="90"/>
        <v>-8.804924500068017</v>
      </c>
      <c r="AJ53" s="219">
        <f t="shared" si="91"/>
        <v>8.6962620099586232</v>
      </c>
      <c r="AK53" s="220">
        <f t="shared" si="92"/>
        <v>5.3728860548932635</v>
      </c>
      <c r="AL53" s="219">
        <f t="shared" si="93"/>
        <v>7.7914562289562284</v>
      </c>
      <c r="AM53" s="219">
        <f t="shared" si="94"/>
        <v>-2.1659976999059052</v>
      </c>
      <c r="AN53" s="219">
        <f t="shared" si="95"/>
        <v>1.2471665691722726</v>
      </c>
      <c r="AO53" s="219">
        <f t="shared" si="96"/>
        <v>-5.4247007658853867</v>
      </c>
      <c r="AP53" s="219">
        <f t="shared" si="97"/>
        <v>-3.1345970560203322</v>
      </c>
      <c r="AQ53" s="219">
        <f t="shared" si="98"/>
        <v>-3.6169389563546046</v>
      </c>
      <c r="AR53" s="219">
        <f t="shared" si="99"/>
        <v>-10.731400628711143</v>
      </c>
      <c r="AS53" s="209">
        <f>(AS52-AS99)/AS99%</f>
        <v>-2.3772678985185989</v>
      </c>
      <c r="AT53" s="208">
        <f t="shared" ref="AT53:CK53" si="105">IF(AT52=0,0,(AT52-AT99)/AT99%)</f>
        <v>0</v>
      </c>
      <c r="AU53" s="208">
        <f t="shared" si="105"/>
        <v>-8.2714107501220369</v>
      </c>
      <c r="AV53" s="208">
        <f t="shared" si="105"/>
        <v>-16.418522059827893</v>
      </c>
      <c r="AW53" s="208">
        <f t="shared" si="105"/>
        <v>-3.0094195872004432</v>
      </c>
      <c r="AX53" s="208">
        <f t="shared" si="105"/>
        <v>1.2526661475437586</v>
      </c>
      <c r="AY53" s="208">
        <f t="shared" si="105"/>
        <v>-2.1069843494510629</v>
      </c>
      <c r="AZ53" s="208">
        <f t="shared" si="105"/>
        <v>0</v>
      </c>
      <c r="BA53" s="208">
        <f t="shared" si="105"/>
        <v>-16.042637047653169</v>
      </c>
      <c r="BB53" s="208">
        <f t="shared" si="105"/>
        <v>-4.6015064323327479</v>
      </c>
      <c r="BC53" s="208">
        <f t="shared" si="105"/>
        <v>-1.0065651978052006</v>
      </c>
      <c r="BD53" s="208">
        <f t="shared" si="105"/>
        <v>-7.2415218289791392</v>
      </c>
      <c r="BE53" s="208">
        <f t="shared" si="105"/>
        <v>3.9834675407966933</v>
      </c>
      <c r="BF53" s="216">
        <f t="shared" si="105"/>
        <v>6.1435054939221834</v>
      </c>
      <c r="BG53" s="208">
        <f t="shared" si="105"/>
        <v>0</v>
      </c>
      <c r="BH53" s="208">
        <f t="shared" si="105"/>
        <v>0</v>
      </c>
      <c r="BI53" s="208">
        <f t="shared" si="105"/>
        <v>-18.771043771043772</v>
      </c>
      <c r="BJ53" s="208">
        <f t="shared" si="105"/>
        <v>-38.96980461811723</v>
      </c>
      <c r="BK53" s="208">
        <f t="shared" si="105"/>
        <v>0</v>
      </c>
      <c r="BL53" s="208">
        <f t="shared" si="105"/>
        <v>0</v>
      </c>
      <c r="BM53" s="208">
        <f t="shared" si="105"/>
        <v>-5.717874396135266</v>
      </c>
      <c r="BN53" s="208">
        <f t="shared" si="105"/>
        <v>-4.5175220063112436</v>
      </c>
      <c r="BO53" s="208">
        <f t="shared" si="105"/>
        <v>0</v>
      </c>
      <c r="BP53" s="208">
        <f t="shared" si="105"/>
        <v>-5.2749301025163096</v>
      </c>
      <c r="BQ53" s="208">
        <f t="shared" si="105"/>
        <v>11.531863523730861</v>
      </c>
      <c r="BR53" s="216">
        <f t="shared" si="105"/>
        <v>-0.50308194343727342</v>
      </c>
      <c r="BS53" s="208">
        <f t="shared" si="105"/>
        <v>0</v>
      </c>
      <c r="BT53" s="208">
        <f t="shared" si="105"/>
        <v>-2.4731591620951243</v>
      </c>
      <c r="BU53" s="208">
        <f t="shared" si="105"/>
        <v>-8.1396544631838754</v>
      </c>
      <c r="BV53" s="208">
        <f t="shared" si="105"/>
        <v>-14.165768678160919</v>
      </c>
      <c r="BW53" s="208">
        <f t="shared" si="105"/>
        <v>-8.804924500068017</v>
      </c>
      <c r="BX53" s="208">
        <f t="shared" si="105"/>
        <v>0.62147989900951639</v>
      </c>
      <c r="BY53" s="208">
        <f t="shared" si="105"/>
        <v>8.6962620099586232</v>
      </c>
      <c r="BZ53" s="208">
        <f t="shared" si="105"/>
        <v>3.8617241572300061</v>
      </c>
      <c r="CA53" s="208">
        <f t="shared" si="105"/>
        <v>-11.681282886494612</v>
      </c>
      <c r="CB53" s="216">
        <f t="shared" si="105"/>
        <v>5.3728860548932635</v>
      </c>
      <c r="CC53" s="208">
        <f t="shared" si="105"/>
        <v>-5.4247007658853867</v>
      </c>
      <c r="CD53" s="208">
        <f t="shared" si="105"/>
        <v>-3.1345970560203322</v>
      </c>
      <c r="CE53" s="208">
        <f t="shared" si="105"/>
        <v>7.7914562289562284</v>
      </c>
      <c r="CF53" s="208">
        <f t="shared" si="105"/>
        <v>0</v>
      </c>
      <c r="CG53" s="208">
        <f t="shared" si="105"/>
        <v>2.921671340635307</v>
      </c>
      <c r="CH53" s="208">
        <f t="shared" si="105"/>
        <v>-2.1659976999059052</v>
      </c>
      <c r="CI53" s="208">
        <f t="shared" si="105"/>
        <v>-10.731400628711143</v>
      </c>
      <c r="CJ53" s="208">
        <f t="shared" si="105"/>
        <v>1.2471665691722726</v>
      </c>
      <c r="CK53" s="209">
        <f t="shared" si="105"/>
        <v>-3.6169389563546046</v>
      </c>
      <c r="CL53" s="217">
        <v>0.53</v>
      </c>
    </row>
    <row r="54" spans="1:90">
      <c r="A54" s="93">
        <f>ROWS($A$3:A52)</f>
        <v>50</v>
      </c>
      <c r="B54" s="107" t="str">
        <f>"Änderung Anzahl Milchkühe "&amp;C95&amp;" / "&amp;C98</f>
        <v>Änderung Anzahl Milchkühe 2009 / 2001</v>
      </c>
      <c r="C54" s="313"/>
      <c r="D54" s="315" t="s">
        <v>4</v>
      </c>
      <c r="E54" s="317">
        <v>40441</v>
      </c>
      <c r="F54" s="221">
        <f>ROUND((F95-F98)/F98%,3)</f>
        <v>-15.917</v>
      </c>
      <c r="G54" s="222">
        <f>ROUND((G95-G98)/G98%,3)</f>
        <v>-19.088000000000001</v>
      </c>
      <c r="H54" s="222">
        <f>ROUND((H95-H98)/H98%,3)</f>
        <v>-17.045000000000002</v>
      </c>
      <c r="I54" s="223">
        <f>ROUND((I95-I98)/I98%,3)</f>
        <v>-13.340999999999999</v>
      </c>
      <c r="J54" s="346"/>
      <c r="K54" s="224">
        <f t="shared" si="74"/>
        <v>-13.298</v>
      </c>
      <c r="L54" s="225">
        <f t="shared" si="75"/>
        <v>-19.547999999999998</v>
      </c>
      <c r="M54" s="225">
        <f t="shared" si="76"/>
        <v>-23.675999999999998</v>
      </c>
      <c r="N54" s="225">
        <f t="shared" si="77"/>
        <v>-13.772</v>
      </c>
      <c r="O54" s="225">
        <f t="shared" si="78"/>
        <v>-10.02</v>
      </c>
      <c r="P54" s="222">
        <f>ROUND((P95-P98)/P98%,3)</f>
        <v>-26.948</v>
      </c>
      <c r="Q54" s="225">
        <f>'2009'!AU54</f>
        <v>-16.463000000000001</v>
      </c>
      <c r="R54" s="222">
        <f>ROUND((R95-R98)/R98%,3)</f>
        <v>-20.9</v>
      </c>
      <c r="S54" s="225">
        <f t="shared" si="79"/>
        <v>-22.63</v>
      </c>
      <c r="T54" s="225">
        <f t="shared" si="80"/>
        <v>-18.158999999999999</v>
      </c>
      <c r="U54" s="226">
        <f t="shared" si="81"/>
        <v>-11.811</v>
      </c>
      <c r="V54" s="222">
        <f>ROUND((V95-V98)/V98%,3)</f>
        <v>-41.61</v>
      </c>
      <c r="W54" s="225">
        <f t="shared" si="82"/>
        <v>-17.263999999999999</v>
      </c>
      <c r="X54" s="222">
        <f>ROUND((X95-X98)/X98%,3)</f>
        <v>-35.061999999999998</v>
      </c>
      <c r="Y54" s="222">
        <f>ROUND((Y95-Y98)/Y98%,3)</f>
        <v>-22.841000000000001</v>
      </c>
      <c r="Z54" s="225">
        <f t="shared" si="83"/>
        <v>-14.784000000000001</v>
      </c>
      <c r="AA54" s="222">
        <f>ROUND((AA95-AA98)/AA98%,3)</f>
        <v>-11.993</v>
      </c>
      <c r="AB54" s="226">
        <f t="shared" si="84"/>
        <v>-20.021999999999998</v>
      </c>
      <c r="AC54" s="225">
        <f t="shared" si="85"/>
        <v>-12.535</v>
      </c>
      <c r="AD54" s="225">
        <f t="shared" si="86"/>
        <v>-18.178000000000001</v>
      </c>
      <c r="AE54" s="222">
        <f>ROUND((AE95-AE98)/AE98%,3)</f>
        <v>-18.425000000000001</v>
      </c>
      <c r="AF54" s="225">
        <f t="shared" si="87"/>
        <v>-25.202000000000002</v>
      </c>
      <c r="AG54" s="225">
        <f t="shared" si="88"/>
        <v>-24.033000000000001</v>
      </c>
      <c r="AH54" s="225">
        <f t="shared" si="89"/>
        <v>-11.946</v>
      </c>
      <c r="AI54" s="225">
        <f t="shared" si="90"/>
        <v>-23.457000000000001</v>
      </c>
      <c r="AJ54" s="225">
        <f t="shared" si="91"/>
        <v>-8.2379999999999995</v>
      </c>
      <c r="AK54" s="226">
        <f t="shared" si="92"/>
        <v>-15.026</v>
      </c>
      <c r="AL54" s="225">
        <f t="shared" si="93"/>
        <v>-14.666</v>
      </c>
      <c r="AM54" s="225">
        <f t="shared" si="94"/>
        <v>-11.901</v>
      </c>
      <c r="AN54" s="225">
        <f t="shared" si="95"/>
        <v>-10.782</v>
      </c>
      <c r="AO54" s="225">
        <f t="shared" si="96"/>
        <v>-17.986999999999998</v>
      </c>
      <c r="AP54" s="225">
        <f t="shared" si="97"/>
        <v>-21.297999999999998</v>
      </c>
      <c r="AQ54" s="225">
        <f t="shared" si="98"/>
        <v>-17.332999999999998</v>
      </c>
      <c r="AR54" s="225">
        <f t="shared" si="99"/>
        <v>-17.306000000000001</v>
      </c>
      <c r="AS54" s="223">
        <f>ROUND((AS95-AS98)/AS98%,3)</f>
        <v>-16.324000000000002</v>
      </c>
      <c r="AT54" s="222">
        <f t="shared" ref="AT54:CJ54" si="106">IF(AT95=0,0,ROUND((AT95-AT98)/AT98%,3))</f>
        <v>0</v>
      </c>
      <c r="AU54" s="222">
        <f t="shared" si="106"/>
        <v>-16.463000000000001</v>
      </c>
      <c r="AV54" s="222">
        <f t="shared" si="106"/>
        <v>-22.63</v>
      </c>
      <c r="AW54" s="222">
        <f t="shared" si="106"/>
        <v>-13.772</v>
      </c>
      <c r="AX54" s="222">
        <f t="shared" si="106"/>
        <v>-14.324999999999999</v>
      </c>
      <c r="AY54" s="222">
        <f t="shared" si="106"/>
        <v>-19.547999999999998</v>
      </c>
      <c r="AZ54" s="222">
        <f t="shared" si="106"/>
        <v>0</v>
      </c>
      <c r="BA54" s="222">
        <f t="shared" si="106"/>
        <v>-23.951000000000001</v>
      </c>
      <c r="BB54" s="222">
        <f t="shared" si="106"/>
        <v>-18.158999999999999</v>
      </c>
      <c r="BC54" s="222">
        <f t="shared" si="106"/>
        <v>-11.811</v>
      </c>
      <c r="BD54" s="222">
        <f t="shared" si="106"/>
        <v>-23.675999999999998</v>
      </c>
      <c r="BE54" s="222">
        <f t="shared" si="106"/>
        <v>-10.02</v>
      </c>
      <c r="BF54" s="227">
        <f t="shared" si="106"/>
        <v>-13.298</v>
      </c>
      <c r="BG54" s="222">
        <f t="shared" si="106"/>
        <v>0</v>
      </c>
      <c r="BH54" s="222">
        <f t="shared" si="106"/>
        <v>0</v>
      </c>
      <c r="BI54" s="222">
        <f t="shared" si="106"/>
        <v>-31.373000000000001</v>
      </c>
      <c r="BJ54" s="222">
        <f t="shared" si="106"/>
        <v>-41.61</v>
      </c>
      <c r="BK54" s="222">
        <f t="shared" si="106"/>
        <v>0</v>
      </c>
      <c r="BL54" s="222">
        <f t="shared" si="106"/>
        <v>0</v>
      </c>
      <c r="BM54" s="222">
        <f t="shared" si="106"/>
        <v>-14.784000000000001</v>
      </c>
      <c r="BN54" s="222">
        <f t="shared" si="106"/>
        <v>-18.175999999999998</v>
      </c>
      <c r="BO54" s="222">
        <f t="shared" si="106"/>
        <v>0</v>
      </c>
      <c r="BP54" s="222">
        <f t="shared" si="106"/>
        <v>-20.021999999999998</v>
      </c>
      <c r="BQ54" s="222">
        <f t="shared" si="106"/>
        <v>-8.8740000000000006</v>
      </c>
      <c r="BR54" s="227">
        <f t="shared" si="106"/>
        <v>-17.263999999999999</v>
      </c>
      <c r="BS54" s="222">
        <f t="shared" si="106"/>
        <v>0</v>
      </c>
      <c r="BT54" s="222">
        <f t="shared" si="106"/>
        <v>-18.425000000000001</v>
      </c>
      <c r="BU54" s="222">
        <f t="shared" si="106"/>
        <v>-18.178000000000001</v>
      </c>
      <c r="BV54" s="222">
        <f t="shared" si="106"/>
        <v>-24.033000000000001</v>
      </c>
      <c r="BW54" s="222">
        <f t="shared" si="106"/>
        <v>-23.457000000000001</v>
      </c>
      <c r="BX54" s="222">
        <f t="shared" si="106"/>
        <v>-12.535</v>
      </c>
      <c r="BY54" s="222">
        <f t="shared" si="106"/>
        <v>-8.2379999999999995</v>
      </c>
      <c r="BZ54" s="222">
        <f t="shared" si="106"/>
        <v>-11.946</v>
      </c>
      <c r="CA54" s="222">
        <f t="shared" si="106"/>
        <v>-25.202000000000002</v>
      </c>
      <c r="CB54" s="227">
        <f t="shared" si="106"/>
        <v>-15.026</v>
      </c>
      <c r="CC54" s="222">
        <f t="shared" si="106"/>
        <v>-17.986999999999998</v>
      </c>
      <c r="CD54" s="222">
        <f t="shared" si="106"/>
        <v>-21.297999999999998</v>
      </c>
      <c r="CE54" s="222">
        <f t="shared" si="106"/>
        <v>-14.666</v>
      </c>
      <c r="CF54" s="222">
        <f t="shared" si="106"/>
        <v>0</v>
      </c>
      <c r="CG54" s="222">
        <f t="shared" si="106"/>
        <v>-12.563000000000001</v>
      </c>
      <c r="CH54" s="222">
        <f t="shared" si="106"/>
        <v>-11.901</v>
      </c>
      <c r="CI54" s="222">
        <f t="shared" si="106"/>
        <v>-17.306000000000001</v>
      </c>
      <c r="CJ54" s="222">
        <f t="shared" si="106"/>
        <v>-10.782</v>
      </c>
      <c r="CK54" s="223">
        <f>IF(CK95=0,0,ROUND((CK95-CK98)/CK98%,3))</f>
        <v>-17.332999999999998</v>
      </c>
      <c r="CL54" s="228">
        <f>ROUND((CL95-CL98)/CL98%,3)</f>
        <v>-15.223000000000001</v>
      </c>
    </row>
    <row r="55" spans="1:90" ht="14.25">
      <c r="A55" s="93">
        <f>ROWS($A$3:A53)</f>
        <v>51</v>
      </c>
      <c r="B55" s="67" t="s">
        <v>224</v>
      </c>
      <c r="C55" s="243"/>
      <c r="D55" s="314"/>
      <c r="E55" s="333"/>
      <c r="F55" s="156"/>
      <c r="G55" s="177"/>
      <c r="H55" s="177"/>
      <c r="I55" s="178"/>
      <c r="J55" s="181"/>
      <c r="K55" s="156"/>
      <c r="L55" s="177"/>
      <c r="M55" s="177"/>
      <c r="N55" s="177"/>
      <c r="O55" s="177"/>
      <c r="P55" s="177"/>
      <c r="Q55" s="177"/>
      <c r="R55" s="177"/>
      <c r="S55" s="177"/>
      <c r="T55" s="177"/>
      <c r="U55" s="179"/>
      <c r="V55" s="177"/>
      <c r="W55" s="177"/>
      <c r="X55" s="177"/>
      <c r="Y55" s="177"/>
      <c r="Z55" s="177"/>
      <c r="AA55" s="177"/>
      <c r="AB55" s="179"/>
      <c r="AC55" s="177"/>
      <c r="AD55" s="177"/>
      <c r="AE55" s="177"/>
      <c r="AF55" s="177"/>
      <c r="AG55" s="177"/>
      <c r="AH55" s="177"/>
      <c r="AI55" s="177"/>
      <c r="AJ55" s="177"/>
      <c r="AK55" s="179"/>
      <c r="AL55" s="177"/>
      <c r="AM55" s="177"/>
      <c r="AN55" s="177"/>
      <c r="AO55" s="177"/>
      <c r="AP55" s="177"/>
      <c r="AQ55" s="177"/>
      <c r="AR55" s="177"/>
      <c r="AS55" s="178"/>
      <c r="AT55" s="177"/>
      <c r="AU55" s="177"/>
      <c r="AV55" s="177"/>
      <c r="AW55" s="177"/>
      <c r="AX55" s="177"/>
      <c r="AY55" s="177"/>
      <c r="AZ55" s="177"/>
      <c r="BA55" s="177"/>
      <c r="BB55" s="177"/>
      <c r="BC55" s="177"/>
      <c r="BD55" s="177"/>
      <c r="BE55" s="177"/>
      <c r="BF55" s="179"/>
      <c r="BG55" s="177"/>
      <c r="BH55" s="177"/>
      <c r="BI55" s="177"/>
      <c r="BJ55" s="177"/>
      <c r="BK55" s="177"/>
      <c r="BL55" s="177"/>
      <c r="BM55" s="177"/>
      <c r="BN55" s="177"/>
      <c r="BO55" s="177"/>
      <c r="BP55" s="177"/>
      <c r="BQ55" s="177"/>
      <c r="BR55" s="179"/>
      <c r="BS55" s="177"/>
      <c r="BT55" s="177"/>
      <c r="BU55" s="177"/>
      <c r="BV55" s="177"/>
      <c r="BW55" s="177"/>
      <c r="BX55" s="177"/>
      <c r="BY55" s="177"/>
      <c r="BZ55" s="177"/>
      <c r="CA55" s="177"/>
      <c r="CB55" s="179"/>
      <c r="CC55" s="177"/>
      <c r="CD55" s="177"/>
      <c r="CE55" s="177"/>
      <c r="CF55" s="177"/>
      <c r="CG55" s="177"/>
      <c r="CH55" s="177"/>
      <c r="CI55" s="177"/>
      <c r="CJ55" s="177"/>
      <c r="CK55" s="178"/>
      <c r="CL55" s="180"/>
    </row>
    <row r="56" spans="1:90">
      <c r="A56" s="93">
        <f>ROWS($A$3:A54)</f>
        <v>52</v>
      </c>
      <c r="B56" s="106" t="s">
        <v>57</v>
      </c>
      <c r="C56" s="242">
        <v>2008</v>
      </c>
      <c r="D56" s="314" t="s">
        <v>14</v>
      </c>
      <c r="E56" s="316">
        <v>40441</v>
      </c>
      <c r="F56" s="156">
        <v>268</v>
      </c>
      <c r="G56" s="177">
        <v>238</v>
      </c>
      <c r="H56" s="177">
        <v>272</v>
      </c>
      <c r="I56" s="178">
        <v>316</v>
      </c>
      <c r="J56" s="181"/>
      <c r="K56" s="156">
        <f t="shared" ref="K56:K63" si="107">BF56</f>
        <v>41</v>
      </c>
      <c r="L56" s="177">
        <f t="shared" ref="L56:L63" si="108">AY56</f>
        <v>25</v>
      </c>
      <c r="M56" s="177">
        <f t="shared" ref="M56:M63" si="109">BD56</f>
        <v>35</v>
      </c>
      <c r="N56" s="177">
        <f t="shared" ref="N56:N63" si="110">AW56</f>
        <v>19</v>
      </c>
      <c r="O56" s="177">
        <f t="shared" ref="O56:O63" si="111">BE56</f>
        <v>11</v>
      </c>
      <c r="P56" s="177">
        <f t="shared" ref="P56:P63" si="112">AZ56+BA56</f>
        <v>24</v>
      </c>
      <c r="Q56" s="177">
        <f>'2009'!AU56</f>
        <v>19</v>
      </c>
      <c r="R56" s="177">
        <f t="shared" ref="R56:R63" si="113">AT56+AX56</f>
        <v>27</v>
      </c>
      <c r="S56" s="177">
        <f t="shared" ref="S56:S63" si="114">AV56</f>
        <v>28</v>
      </c>
      <c r="T56" s="177">
        <f t="shared" ref="T56:U59" si="115">BB56</f>
        <v>21</v>
      </c>
      <c r="U56" s="179">
        <f t="shared" si="115"/>
        <v>18</v>
      </c>
      <c r="V56" s="177">
        <f t="shared" ref="V56:V63" si="116">BG56+BJ56</f>
        <v>32</v>
      </c>
      <c r="W56" s="177">
        <f t="shared" ref="W56:W63" si="117">BR56</f>
        <v>18</v>
      </c>
      <c r="X56" s="177">
        <f t="shared" ref="X56:X63" si="118">BH56+BI56</f>
        <v>47</v>
      </c>
      <c r="Y56" s="177">
        <f t="shared" ref="Y56:Y63" si="119">BK56+BL56+BN56</f>
        <v>61</v>
      </c>
      <c r="Z56" s="177">
        <f t="shared" ref="Z56:Z63" si="120">BM56</f>
        <v>25</v>
      </c>
      <c r="AA56" s="177">
        <f t="shared" ref="AA56:AA63" si="121">BO56+BQ56</f>
        <v>29</v>
      </c>
      <c r="AB56" s="179">
        <f t="shared" ref="AB56:AB63" si="122">BP56</f>
        <v>26</v>
      </c>
      <c r="AC56" s="177">
        <f t="shared" ref="AC56:AC63" si="123">BX56</f>
        <v>24</v>
      </c>
      <c r="AD56" s="177">
        <f t="shared" ref="AD56:AD63" si="124">BU56</f>
        <v>20</v>
      </c>
      <c r="AE56" s="177">
        <f t="shared" ref="AE56:AE63" si="125">BS56+BT56</f>
        <v>51</v>
      </c>
      <c r="AF56" s="177">
        <f t="shared" ref="AF56:AF63" si="126">CA56</f>
        <v>25</v>
      </c>
      <c r="AG56" s="177">
        <f t="shared" ref="AG56:AG63" si="127">BV56</f>
        <v>23</v>
      </c>
      <c r="AH56" s="177">
        <f t="shared" ref="AH56:AH63" si="128">BZ56</f>
        <v>59</v>
      </c>
      <c r="AI56" s="177">
        <f t="shared" ref="AI56:AI63" si="129">BW56</f>
        <v>10</v>
      </c>
      <c r="AJ56" s="177">
        <f t="shared" ref="AJ56:AJ63" si="130">BY56</f>
        <v>23</v>
      </c>
      <c r="AK56" s="179">
        <f t="shared" ref="AK56:AK63" si="131">CB56</f>
        <v>37</v>
      </c>
      <c r="AL56" s="177">
        <f t="shared" ref="AL56:AL63" si="132">CE56</f>
        <v>53</v>
      </c>
      <c r="AM56" s="177">
        <f t="shared" ref="AM56:AM63" si="133">CH56</f>
        <v>31</v>
      </c>
      <c r="AN56" s="177">
        <f t="shared" ref="AN56:AN63" si="134">CJ56</f>
        <v>76</v>
      </c>
      <c r="AO56" s="177">
        <f t="shared" ref="AO56:AP63" si="135">CC56</f>
        <v>42</v>
      </c>
      <c r="AP56" s="177">
        <f t="shared" si="135"/>
        <v>22</v>
      </c>
      <c r="AQ56" s="177">
        <f t="shared" ref="AQ56:AQ63" si="136">CK56</f>
        <v>25</v>
      </c>
      <c r="AR56" s="177">
        <f t="shared" ref="AR56:AR63" si="137">CI56</f>
        <v>33</v>
      </c>
      <c r="AS56" s="178">
        <f t="shared" ref="AS56:AS63" si="138">CF56+CG56</f>
        <v>34</v>
      </c>
      <c r="AT56" s="186">
        <v>7</v>
      </c>
      <c r="AU56" s="177">
        <v>19</v>
      </c>
      <c r="AV56" s="177">
        <v>28</v>
      </c>
      <c r="AW56" s="181">
        <v>19</v>
      </c>
      <c r="AX56" s="177">
        <v>20</v>
      </c>
      <c r="AY56" s="177">
        <v>25</v>
      </c>
      <c r="AZ56" s="177">
        <v>4</v>
      </c>
      <c r="BA56" s="177">
        <v>20</v>
      </c>
      <c r="BB56" s="177">
        <v>21</v>
      </c>
      <c r="BC56" s="177">
        <v>18</v>
      </c>
      <c r="BD56" s="177">
        <v>35</v>
      </c>
      <c r="BE56" s="177">
        <v>11</v>
      </c>
      <c r="BF56" s="179">
        <v>41</v>
      </c>
      <c r="BG56" s="177">
        <v>5</v>
      </c>
      <c r="BH56" s="177">
        <v>7</v>
      </c>
      <c r="BI56" s="177">
        <v>40</v>
      </c>
      <c r="BJ56" s="177">
        <v>27</v>
      </c>
      <c r="BK56" s="177">
        <v>5</v>
      </c>
      <c r="BL56" s="177">
        <v>9</v>
      </c>
      <c r="BM56" s="177">
        <v>25</v>
      </c>
      <c r="BN56" s="177">
        <v>47</v>
      </c>
      <c r="BO56" s="177">
        <v>3</v>
      </c>
      <c r="BP56" s="177">
        <v>26</v>
      </c>
      <c r="BQ56" s="177">
        <v>26</v>
      </c>
      <c r="BR56" s="179">
        <v>18</v>
      </c>
      <c r="BS56" s="177">
        <v>6</v>
      </c>
      <c r="BT56" s="177">
        <v>45</v>
      </c>
      <c r="BU56" s="177">
        <v>20</v>
      </c>
      <c r="BV56" s="177">
        <v>23</v>
      </c>
      <c r="BW56" s="177">
        <v>10</v>
      </c>
      <c r="BX56" s="177">
        <v>24</v>
      </c>
      <c r="BY56" s="177">
        <v>23</v>
      </c>
      <c r="BZ56" s="177">
        <v>59</v>
      </c>
      <c r="CA56" s="177">
        <v>25</v>
      </c>
      <c r="CB56" s="179">
        <v>37</v>
      </c>
      <c r="CC56" s="177">
        <v>42</v>
      </c>
      <c r="CD56" s="177">
        <v>22</v>
      </c>
      <c r="CE56" s="177">
        <v>53</v>
      </c>
      <c r="CF56" s="177">
        <v>1</v>
      </c>
      <c r="CG56" s="177">
        <v>33</v>
      </c>
      <c r="CH56" s="177">
        <v>31</v>
      </c>
      <c r="CI56" s="177">
        <v>33</v>
      </c>
      <c r="CJ56" s="177">
        <v>76</v>
      </c>
      <c r="CK56" s="178">
        <v>25</v>
      </c>
      <c r="CL56" s="180">
        <v>1094</v>
      </c>
    </row>
    <row r="57" spans="1:90">
      <c r="A57" s="93">
        <f>ROWS($A$3:A55)</f>
        <v>53</v>
      </c>
      <c r="B57" s="106"/>
      <c r="C57" s="243"/>
      <c r="D57" s="314" t="s">
        <v>1</v>
      </c>
      <c r="E57" s="333"/>
      <c r="F57" s="156">
        <v>14335</v>
      </c>
      <c r="G57" s="177">
        <v>19519</v>
      </c>
      <c r="H57" s="177">
        <v>31216</v>
      </c>
      <c r="I57" s="178">
        <v>18974</v>
      </c>
      <c r="J57" s="181"/>
      <c r="K57" s="156">
        <f t="shared" si="107"/>
        <v>1872</v>
      </c>
      <c r="L57" s="177">
        <f t="shared" si="108"/>
        <v>776</v>
      </c>
      <c r="M57" s="177">
        <f t="shared" si="109"/>
        <v>1042</v>
      </c>
      <c r="N57" s="177">
        <f t="shared" si="110"/>
        <v>2872</v>
      </c>
      <c r="O57" s="177">
        <f t="shared" si="111"/>
        <v>504</v>
      </c>
      <c r="P57" s="177">
        <f t="shared" si="112"/>
        <v>489</v>
      </c>
      <c r="Q57" s="177">
        <f>'2009'!AU57</f>
        <v>709</v>
      </c>
      <c r="R57" s="177">
        <f t="shared" si="113"/>
        <v>1904</v>
      </c>
      <c r="S57" s="177">
        <f t="shared" si="114"/>
        <v>2283</v>
      </c>
      <c r="T57" s="177">
        <f t="shared" si="115"/>
        <v>487</v>
      </c>
      <c r="U57" s="179">
        <f t="shared" si="115"/>
        <v>1397</v>
      </c>
      <c r="V57" s="177">
        <f t="shared" si="116"/>
        <v>4371</v>
      </c>
      <c r="W57" s="177">
        <f t="shared" si="117"/>
        <v>2885</v>
      </c>
      <c r="X57" s="177">
        <f t="shared" si="118"/>
        <v>3858</v>
      </c>
      <c r="Y57" s="177">
        <f t="shared" si="119"/>
        <v>3679</v>
      </c>
      <c r="Z57" s="177">
        <f t="shared" si="120"/>
        <v>903</v>
      </c>
      <c r="AA57" s="177">
        <f t="shared" si="121"/>
        <v>1545</v>
      </c>
      <c r="AB57" s="179">
        <f t="shared" si="122"/>
        <v>2278</v>
      </c>
      <c r="AC57" s="177">
        <f t="shared" si="123"/>
        <v>1949</v>
      </c>
      <c r="AD57" s="177">
        <f t="shared" si="124"/>
        <v>3809</v>
      </c>
      <c r="AE57" s="177">
        <f t="shared" si="125"/>
        <v>6157</v>
      </c>
      <c r="AF57" s="177">
        <f t="shared" si="126"/>
        <v>5582</v>
      </c>
      <c r="AG57" s="177">
        <f t="shared" si="127"/>
        <v>3514</v>
      </c>
      <c r="AH57" s="177">
        <f t="shared" si="128"/>
        <v>4251</v>
      </c>
      <c r="AI57" s="177">
        <f t="shared" si="129"/>
        <v>436</v>
      </c>
      <c r="AJ57" s="177">
        <f t="shared" si="130"/>
        <v>1880</v>
      </c>
      <c r="AK57" s="179">
        <f t="shared" si="131"/>
        <v>3638</v>
      </c>
      <c r="AL57" s="177">
        <f t="shared" si="132"/>
        <v>1545</v>
      </c>
      <c r="AM57" s="177">
        <f t="shared" si="133"/>
        <v>3578</v>
      </c>
      <c r="AN57" s="177">
        <f t="shared" si="134"/>
        <v>5915</v>
      </c>
      <c r="AO57" s="177">
        <f t="shared" si="135"/>
        <v>1979</v>
      </c>
      <c r="AP57" s="177">
        <f t="shared" si="135"/>
        <v>1184</v>
      </c>
      <c r="AQ57" s="177">
        <f t="shared" si="136"/>
        <v>2011</v>
      </c>
      <c r="AR57" s="177">
        <f t="shared" si="137"/>
        <v>1514</v>
      </c>
      <c r="AS57" s="178">
        <f t="shared" si="138"/>
        <v>1248</v>
      </c>
      <c r="AT57" s="177">
        <v>1360</v>
      </c>
      <c r="AU57" s="177">
        <v>709</v>
      </c>
      <c r="AV57" s="177">
        <v>2283</v>
      </c>
      <c r="AW57" s="177">
        <v>2872</v>
      </c>
      <c r="AX57" s="177">
        <v>544</v>
      </c>
      <c r="AY57" s="177">
        <v>776</v>
      </c>
      <c r="AZ57" s="177">
        <v>93</v>
      </c>
      <c r="BA57" s="177">
        <v>396</v>
      </c>
      <c r="BB57" s="177">
        <v>487</v>
      </c>
      <c r="BC57" s="177">
        <v>1397</v>
      </c>
      <c r="BD57" s="177">
        <v>1042</v>
      </c>
      <c r="BE57" s="177">
        <v>504</v>
      </c>
      <c r="BF57" s="179">
        <v>1872</v>
      </c>
      <c r="BG57" s="177">
        <v>438</v>
      </c>
      <c r="BH57" s="177">
        <v>646</v>
      </c>
      <c r="BI57" s="177">
        <v>3212</v>
      </c>
      <c r="BJ57" s="177">
        <v>3933</v>
      </c>
      <c r="BK57" s="177">
        <v>84</v>
      </c>
      <c r="BL57" s="177">
        <v>691</v>
      </c>
      <c r="BM57" s="177">
        <v>903</v>
      </c>
      <c r="BN57" s="177">
        <v>2904</v>
      </c>
      <c r="BO57" s="177">
        <v>197</v>
      </c>
      <c r="BP57" s="177">
        <v>2278</v>
      </c>
      <c r="BQ57" s="177">
        <v>1348</v>
      </c>
      <c r="BR57" s="179">
        <v>2885</v>
      </c>
      <c r="BS57" s="177">
        <v>655</v>
      </c>
      <c r="BT57" s="177">
        <v>5502</v>
      </c>
      <c r="BU57" s="177">
        <v>3809</v>
      </c>
      <c r="BV57" s="177">
        <v>3514</v>
      </c>
      <c r="BW57" s="177">
        <v>436</v>
      </c>
      <c r="BX57" s="177">
        <v>1949</v>
      </c>
      <c r="BY57" s="177">
        <v>1880</v>
      </c>
      <c r="BZ57" s="177">
        <v>4251</v>
      </c>
      <c r="CA57" s="177">
        <v>5582</v>
      </c>
      <c r="CB57" s="179">
        <v>3638</v>
      </c>
      <c r="CC57" s="177">
        <v>1979</v>
      </c>
      <c r="CD57" s="177">
        <v>1184</v>
      </c>
      <c r="CE57" s="177">
        <v>1545</v>
      </c>
      <c r="CF57" s="177">
        <v>39</v>
      </c>
      <c r="CG57" s="177">
        <v>1209</v>
      </c>
      <c r="CH57" s="177">
        <v>3578</v>
      </c>
      <c r="CI57" s="177">
        <v>1514</v>
      </c>
      <c r="CJ57" s="177">
        <v>5915</v>
      </c>
      <c r="CK57" s="178">
        <v>2011</v>
      </c>
      <c r="CL57" s="180">
        <v>84044</v>
      </c>
    </row>
    <row r="58" spans="1:90">
      <c r="A58" s="93">
        <f>ROWS($A$3:A56)</f>
        <v>54</v>
      </c>
      <c r="B58" s="106" t="s">
        <v>249</v>
      </c>
      <c r="C58" s="243"/>
      <c r="D58" s="314" t="s">
        <v>14</v>
      </c>
      <c r="E58" s="316">
        <v>40477</v>
      </c>
      <c r="F58" s="156"/>
      <c r="G58" s="177"/>
      <c r="H58" s="177"/>
      <c r="I58" s="178"/>
      <c r="J58" s="181"/>
      <c r="K58" s="156">
        <f t="shared" si="107"/>
        <v>0</v>
      </c>
      <c r="L58" s="177">
        <f t="shared" si="108"/>
        <v>0</v>
      </c>
      <c r="M58" s="177">
        <f t="shared" si="109"/>
        <v>0</v>
      </c>
      <c r="N58" s="177">
        <f t="shared" si="110"/>
        <v>0</v>
      </c>
      <c r="O58" s="177">
        <f t="shared" si="111"/>
        <v>0</v>
      </c>
      <c r="P58" s="177">
        <f t="shared" si="112"/>
        <v>0</v>
      </c>
      <c r="Q58" s="177">
        <f>'2009'!AU58</f>
        <v>0</v>
      </c>
      <c r="R58" s="177">
        <f t="shared" si="113"/>
        <v>0</v>
      </c>
      <c r="S58" s="177">
        <f t="shared" si="114"/>
        <v>0</v>
      </c>
      <c r="T58" s="177">
        <f t="shared" si="115"/>
        <v>0</v>
      </c>
      <c r="U58" s="179">
        <f t="shared" si="115"/>
        <v>0</v>
      </c>
      <c r="V58" s="177">
        <f t="shared" si="116"/>
        <v>0</v>
      </c>
      <c r="W58" s="177">
        <f t="shared" si="117"/>
        <v>0</v>
      </c>
      <c r="X58" s="177">
        <f t="shared" si="118"/>
        <v>0</v>
      </c>
      <c r="Y58" s="177">
        <f t="shared" si="119"/>
        <v>0</v>
      </c>
      <c r="Z58" s="177">
        <f t="shared" si="120"/>
        <v>0</v>
      </c>
      <c r="AA58" s="177">
        <f t="shared" si="121"/>
        <v>0</v>
      </c>
      <c r="AB58" s="179">
        <f t="shared" si="122"/>
        <v>0</v>
      </c>
      <c r="AC58" s="177">
        <f t="shared" si="123"/>
        <v>0</v>
      </c>
      <c r="AD58" s="177">
        <f t="shared" si="124"/>
        <v>0</v>
      </c>
      <c r="AE58" s="177">
        <f t="shared" si="125"/>
        <v>0</v>
      </c>
      <c r="AF58" s="177">
        <f t="shared" si="126"/>
        <v>0</v>
      </c>
      <c r="AG58" s="177">
        <f t="shared" si="127"/>
        <v>0</v>
      </c>
      <c r="AH58" s="177">
        <f t="shared" si="128"/>
        <v>0</v>
      </c>
      <c r="AI58" s="177">
        <f t="shared" si="129"/>
        <v>0</v>
      </c>
      <c r="AJ58" s="177">
        <f t="shared" si="130"/>
        <v>0</v>
      </c>
      <c r="AK58" s="179">
        <f t="shared" si="131"/>
        <v>0</v>
      </c>
      <c r="AL58" s="177">
        <f t="shared" si="132"/>
        <v>0</v>
      </c>
      <c r="AM58" s="177">
        <f t="shared" si="133"/>
        <v>0</v>
      </c>
      <c r="AN58" s="177">
        <f t="shared" si="134"/>
        <v>0</v>
      </c>
      <c r="AO58" s="177">
        <f t="shared" si="135"/>
        <v>0</v>
      </c>
      <c r="AP58" s="177">
        <f t="shared" si="135"/>
        <v>0</v>
      </c>
      <c r="AQ58" s="177">
        <f t="shared" si="136"/>
        <v>0</v>
      </c>
      <c r="AR58" s="177">
        <f t="shared" si="137"/>
        <v>0</v>
      </c>
      <c r="AS58" s="178">
        <f t="shared" si="138"/>
        <v>0</v>
      </c>
      <c r="AT58" s="186"/>
      <c r="AU58" s="177"/>
      <c r="AV58" s="181"/>
      <c r="AW58" s="181"/>
      <c r="AX58" s="181"/>
      <c r="AY58" s="181"/>
      <c r="AZ58" s="181"/>
      <c r="BA58" s="181"/>
      <c r="BB58" s="181"/>
      <c r="BC58" s="181"/>
      <c r="BD58" s="181"/>
      <c r="BE58" s="181"/>
      <c r="BF58" s="179"/>
      <c r="BG58" s="181"/>
      <c r="BH58" s="181"/>
      <c r="BI58" s="181"/>
      <c r="BJ58" s="181"/>
      <c r="BK58" s="181"/>
      <c r="BL58" s="181"/>
      <c r="BM58" s="181"/>
      <c r="BN58" s="181"/>
      <c r="BO58" s="181"/>
      <c r="BP58" s="181"/>
      <c r="BQ58" s="181"/>
      <c r="BR58" s="179"/>
      <c r="BS58" s="181"/>
      <c r="BT58" s="181"/>
      <c r="BU58" s="181"/>
      <c r="BV58" s="181"/>
      <c r="BW58" s="181"/>
      <c r="BX58" s="181"/>
      <c r="BY58" s="181"/>
      <c r="BZ58" s="181"/>
      <c r="CA58" s="181"/>
      <c r="CB58" s="179"/>
      <c r="CC58" s="181"/>
      <c r="CD58" s="181"/>
      <c r="CE58" s="181"/>
      <c r="CF58" s="181"/>
      <c r="CG58" s="181"/>
      <c r="CH58" s="181"/>
      <c r="CI58" s="181"/>
      <c r="CJ58" s="181"/>
      <c r="CK58" s="178"/>
      <c r="CL58" s="180">
        <v>1446</v>
      </c>
    </row>
    <row r="59" spans="1:90">
      <c r="A59" s="93">
        <f>ROWS($A$3:A57)</f>
        <v>55</v>
      </c>
      <c r="B59" s="106"/>
      <c r="C59" s="243"/>
      <c r="D59" s="314" t="s">
        <v>1</v>
      </c>
      <c r="E59" s="333"/>
      <c r="F59" s="156"/>
      <c r="G59" s="177"/>
      <c r="H59" s="177"/>
      <c r="I59" s="178"/>
      <c r="J59" s="181"/>
      <c r="K59" s="156">
        <f t="shared" si="107"/>
        <v>0</v>
      </c>
      <c r="L59" s="177">
        <f t="shared" si="108"/>
        <v>0</v>
      </c>
      <c r="M59" s="177">
        <f t="shared" si="109"/>
        <v>0</v>
      </c>
      <c r="N59" s="177">
        <f t="shared" si="110"/>
        <v>0</v>
      </c>
      <c r="O59" s="177">
        <f t="shared" si="111"/>
        <v>0</v>
      </c>
      <c r="P59" s="177">
        <f t="shared" si="112"/>
        <v>0</v>
      </c>
      <c r="Q59" s="177">
        <f>'2009'!AU59</f>
        <v>0</v>
      </c>
      <c r="R59" s="177">
        <f t="shared" si="113"/>
        <v>0</v>
      </c>
      <c r="S59" s="177">
        <f t="shared" si="114"/>
        <v>0</v>
      </c>
      <c r="T59" s="177">
        <f t="shared" si="115"/>
        <v>0</v>
      </c>
      <c r="U59" s="179">
        <f t="shared" si="115"/>
        <v>0</v>
      </c>
      <c r="V59" s="177">
        <f t="shared" si="116"/>
        <v>0</v>
      </c>
      <c r="W59" s="177">
        <f t="shared" si="117"/>
        <v>0</v>
      </c>
      <c r="X59" s="177">
        <f t="shared" si="118"/>
        <v>0</v>
      </c>
      <c r="Y59" s="177">
        <f t="shared" si="119"/>
        <v>0</v>
      </c>
      <c r="Z59" s="177">
        <f t="shared" si="120"/>
        <v>0</v>
      </c>
      <c r="AA59" s="177">
        <f t="shared" si="121"/>
        <v>0</v>
      </c>
      <c r="AB59" s="179">
        <f t="shared" si="122"/>
        <v>0</v>
      </c>
      <c r="AC59" s="177">
        <f t="shared" si="123"/>
        <v>0</v>
      </c>
      <c r="AD59" s="177">
        <f t="shared" si="124"/>
        <v>0</v>
      </c>
      <c r="AE59" s="177">
        <f t="shared" si="125"/>
        <v>0</v>
      </c>
      <c r="AF59" s="177">
        <f t="shared" si="126"/>
        <v>0</v>
      </c>
      <c r="AG59" s="177">
        <f t="shared" si="127"/>
        <v>0</v>
      </c>
      <c r="AH59" s="177">
        <f t="shared" si="128"/>
        <v>0</v>
      </c>
      <c r="AI59" s="177">
        <f t="shared" si="129"/>
        <v>0</v>
      </c>
      <c r="AJ59" s="177">
        <f t="shared" si="130"/>
        <v>0</v>
      </c>
      <c r="AK59" s="179">
        <f t="shared" si="131"/>
        <v>0</v>
      </c>
      <c r="AL59" s="177">
        <f t="shared" si="132"/>
        <v>0</v>
      </c>
      <c r="AM59" s="177">
        <f t="shared" si="133"/>
        <v>0</v>
      </c>
      <c r="AN59" s="177">
        <f t="shared" si="134"/>
        <v>0</v>
      </c>
      <c r="AO59" s="177">
        <f t="shared" si="135"/>
        <v>0</v>
      </c>
      <c r="AP59" s="177">
        <f t="shared" si="135"/>
        <v>0</v>
      </c>
      <c r="AQ59" s="177">
        <f t="shared" si="136"/>
        <v>0</v>
      </c>
      <c r="AR59" s="177">
        <f t="shared" si="137"/>
        <v>0</v>
      </c>
      <c r="AS59" s="178">
        <f t="shared" si="138"/>
        <v>0</v>
      </c>
      <c r="AT59" s="177"/>
      <c r="AU59" s="177"/>
      <c r="AV59" s="177"/>
      <c r="AW59" s="177"/>
      <c r="AX59" s="177"/>
      <c r="AY59" s="177"/>
      <c r="AZ59" s="177"/>
      <c r="BA59" s="177"/>
      <c r="BB59" s="177"/>
      <c r="BC59" s="177"/>
      <c r="BD59" s="177"/>
      <c r="BE59" s="177"/>
      <c r="BF59" s="179"/>
      <c r="BG59" s="177"/>
      <c r="BH59" s="177"/>
      <c r="BI59" s="177"/>
      <c r="BJ59" s="177"/>
      <c r="BK59" s="177"/>
      <c r="BL59" s="177"/>
      <c r="BM59" s="177"/>
      <c r="BN59" s="177"/>
      <c r="BO59" s="177"/>
      <c r="BP59" s="177"/>
      <c r="BQ59" s="177"/>
      <c r="BR59" s="179"/>
      <c r="BS59" s="177"/>
      <c r="BT59" s="177"/>
      <c r="BU59" s="177"/>
      <c r="BV59" s="177"/>
      <c r="BW59" s="177"/>
      <c r="BX59" s="177"/>
      <c r="BY59" s="177"/>
      <c r="BZ59" s="177"/>
      <c r="CA59" s="177"/>
      <c r="CB59" s="179"/>
      <c r="CC59" s="177"/>
      <c r="CD59" s="177"/>
      <c r="CE59" s="177"/>
      <c r="CF59" s="177"/>
      <c r="CG59" s="177"/>
      <c r="CH59" s="177"/>
      <c r="CI59" s="177"/>
      <c r="CJ59" s="177"/>
      <c r="CK59" s="178"/>
      <c r="CL59" s="180">
        <v>807059</v>
      </c>
    </row>
    <row r="60" spans="1:90">
      <c r="A60" s="93">
        <f>ROWS($A$3:A58)</f>
        <v>56</v>
      </c>
      <c r="B60" s="106" t="s">
        <v>250</v>
      </c>
      <c r="C60" s="243"/>
      <c r="D60" s="314" t="s">
        <v>14</v>
      </c>
      <c r="E60" s="316">
        <v>40477</v>
      </c>
      <c r="F60" s="156"/>
      <c r="G60" s="181"/>
      <c r="H60" s="181"/>
      <c r="I60" s="178"/>
      <c r="J60" s="181"/>
      <c r="K60" s="156">
        <f t="shared" si="107"/>
        <v>0</v>
      </c>
      <c r="L60" s="177">
        <f t="shared" si="108"/>
        <v>0</v>
      </c>
      <c r="M60" s="177">
        <f t="shared" si="109"/>
        <v>0</v>
      </c>
      <c r="N60" s="177">
        <f t="shared" si="110"/>
        <v>0</v>
      </c>
      <c r="O60" s="177">
        <f t="shared" si="111"/>
        <v>0</v>
      </c>
      <c r="P60" s="177">
        <f t="shared" si="112"/>
        <v>0</v>
      </c>
      <c r="Q60" s="177">
        <f>'2009'!AU60</f>
        <v>0</v>
      </c>
      <c r="R60" s="177">
        <f t="shared" si="113"/>
        <v>0</v>
      </c>
      <c r="S60" s="177">
        <f t="shared" si="114"/>
        <v>0</v>
      </c>
      <c r="T60" s="177">
        <f t="shared" ref="T60:U63" si="139">BB60</f>
        <v>0</v>
      </c>
      <c r="U60" s="179">
        <f t="shared" si="139"/>
        <v>0</v>
      </c>
      <c r="V60" s="177">
        <f t="shared" si="116"/>
        <v>0</v>
      </c>
      <c r="W60" s="177">
        <f t="shared" si="117"/>
        <v>0</v>
      </c>
      <c r="X60" s="177">
        <f t="shared" si="118"/>
        <v>0</v>
      </c>
      <c r="Y60" s="177">
        <f t="shared" si="119"/>
        <v>0</v>
      </c>
      <c r="Z60" s="177">
        <f t="shared" si="120"/>
        <v>0</v>
      </c>
      <c r="AA60" s="177">
        <f t="shared" si="121"/>
        <v>0</v>
      </c>
      <c r="AB60" s="179">
        <f t="shared" si="122"/>
        <v>0</v>
      </c>
      <c r="AC60" s="177">
        <f t="shared" si="123"/>
        <v>0</v>
      </c>
      <c r="AD60" s="177">
        <f t="shared" si="124"/>
        <v>0</v>
      </c>
      <c r="AE60" s="177">
        <f t="shared" si="125"/>
        <v>0</v>
      </c>
      <c r="AF60" s="177">
        <f t="shared" si="126"/>
        <v>0</v>
      </c>
      <c r="AG60" s="177">
        <f t="shared" si="127"/>
        <v>0</v>
      </c>
      <c r="AH60" s="177">
        <f t="shared" si="128"/>
        <v>0</v>
      </c>
      <c r="AI60" s="177">
        <f t="shared" si="129"/>
        <v>0</v>
      </c>
      <c r="AJ60" s="177">
        <f t="shared" si="130"/>
        <v>0</v>
      </c>
      <c r="AK60" s="179">
        <f t="shared" si="131"/>
        <v>0</v>
      </c>
      <c r="AL60" s="177">
        <f t="shared" si="132"/>
        <v>0</v>
      </c>
      <c r="AM60" s="177">
        <f t="shared" si="133"/>
        <v>0</v>
      </c>
      <c r="AN60" s="177">
        <f t="shared" si="134"/>
        <v>0</v>
      </c>
      <c r="AO60" s="177">
        <f t="shared" si="135"/>
        <v>0</v>
      </c>
      <c r="AP60" s="177">
        <f t="shared" si="135"/>
        <v>0</v>
      </c>
      <c r="AQ60" s="177">
        <f t="shared" si="136"/>
        <v>0</v>
      </c>
      <c r="AR60" s="177">
        <f t="shared" si="137"/>
        <v>0</v>
      </c>
      <c r="AS60" s="178">
        <f t="shared" si="138"/>
        <v>0</v>
      </c>
      <c r="AT60" s="177"/>
      <c r="AU60" s="181"/>
      <c r="AV60" s="181"/>
      <c r="AW60" s="181"/>
      <c r="AX60" s="181"/>
      <c r="AY60" s="181"/>
      <c r="AZ60" s="181"/>
      <c r="BA60" s="181"/>
      <c r="BB60" s="181"/>
      <c r="BC60" s="181"/>
      <c r="BD60" s="181"/>
      <c r="BE60" s="181"/>
      <c r="BF60" s="179"/>
      <c r="BG60" s="181"/>
      <c r="BH60" s="181"/>
      <c r="BI60" s="181"/>
      <c r="BJ60" s="181"/>
      <c r="BK60" s="181"/>
      <c r="BL60" s="181"/>
      <c r="BM60" s="181"/>
      <c r="BN60" s="181"/>
      <c r="BO60" s="181"/>
      <c r="BP60" s="181"/>
      <c r="BQ60" s="181"/>
      <c r="BR60" s="179"/>
      <c r="BS60" s="181"/>
      <c r="BT60" s="181"/>
      <c r="BU60" s="181"/>
      <c r="BV60" s="181"/>
      <c r="BW60" s="181"/>
      <c r="BX60" s="181"/>
      <c r="BY60" s="181"/>
      <c r="BZ60" s="181"/>
      <c r="CA60" s="181"/>
      <c r="CB60" s="179"/>
      <c r="CC60" s="181"/>
      <c r="CD60" s="181"/>
      <c r="CE60" s="181"/>
      <c r="CF60" s="181"/>
      <c r="CG60" s="181"/>
      <c r="CH60" s="181"/>
      <c r="CI60" s="181"/>
      <c r="CJ60" s="181"/>
      <c r="CK60" s="178"/>
      <c r="CL60" s="180">
        <v>2627</v>
      </c>
    </row>
    <row r="61" spans="1:90">
      <c r="A61" s="93">
        <f>ROWS($A$3:A59)</f>
        <v>57</v>
      </c>
      <c r="B61" s="106"/>
      <c r="C61" s="243"/>
      <c r="D61" s="314" t="s">
        <v>1</v>
      </c>
      <c r="E61" s="333"/>
      <c r="F61" s="156"/>
      <c r="G61" s="177"/>
      <c r="H61" s="177"/>
      <c r="I61" s="178"/>
      <c r="J61" s="181"/>
      <c r="K61" s="156">
        <f t="shared" si="107"/>
        <v>0</v>
      </c>
      <c r="L61" s="177">
        <f t="shared" si="108"/>
        <v>0</v>
      </c>
      <c r="M61" s="177">
        <f t="shared" si="109"/>
        <v>0</v>
      </c>
      <c r="N61" s="177">
        <f t="shared" si="110"/>
        <v>0</v>
      </c>
      <c r="O61" s="177">
        <f t="shared" si="111"/>
        <v>0</v>
      </c>
      <c r="P61" s="177">
        <f t="shared" si="112"/>
        <v>0</v>
      </c>
      <c r="Q61" s="177">
        <f>'2009'!AU61</f>
        <v>0</v>
      </c>
      <c r="R61" s="177">
        <f t="shared" si="113"/>
        <v>0</v>
      </c>
      <c r="S61" s="177">
        <f t="shared" si="114"/>
        <v>0</v>
      </c>
      <c r="T61" s="177">
        <f t="shared" si="139"/>
        <v>0</v>
      </c>
      <c r="U61" s="179">
        <f t="shared" si="139"/>
        <v>0</v>
      </c>
      <c r="V61" s="177">
        <f t="shared" si="116"/>
        <v>0</v>
      </c>
      <c r="W61" s="177">
        <f t="shared" si="117"/>
        <v>0</v>
      </c>
      <c r="X61" s="177">
        <f t="shared" si="118"/>
        <v>0</v>
      </c>
      <c r="Y61" s="177">
        <f t="shared" si="119"/>
        <v>0</v>
      </c>
      <c r="Z61" s="177">
        <f t="shared" si="120"/>
        <v>0</v>
      </c>
      <c r="AA61" s="177">
        <f t="shared" si="121"/>
        <v>0</v>
      </c>
      <c r="AB61" s="179">
        <f t="shared" si="122"/>
        <v>0</v>
      </c>
      <c r="AC61" s="177">
        <f t="shared" si="123"/>
        <v>0</v>
      </c>
      <c r="AD61" s="177">
        <f t="shared" si="124"/>
        <v>0</v>
      </c>
      <c r="AE61" s="177">
        <f t="shared" si="125"/>
        <v>0</v>
      </c>
      <c r="AF61" s="177">
        <f t="shared" si="126"/>
        <v>0</v>
      </c>
      <c r="AG61" s="177">
        <f t="shared" si="127"/>
        <v>0</v>
      </c>
      <c r="AH61" s="177">
        <f t="shared" si="128"/>
        <v>0</v>
      </c>
      <c r="AI61" s="177">
        <f t="shared" si="129"/>
        <v>0</v>
      </c>
      <c r="AJ61" s="177">
        <f t="shared" si="130"/>
        <v>0</v>
      </c>
      <c r="AK61" s="179">
        <f t="shared" si="131"/>
        <v>0</v>
      </c>
      <c r="AL61" s="177">
        <f t="shared" si="132"/>
        <v>0</v>
      </c>
      <c r="AM61" s="177">
        <f t="shared" si="133"/>
        <v>0</v>
      </c>
      <c r="AN61" s="177">
        <f t="shared" si="134"/>
        <v>0</v>
      </c>
      <c r="AO61" s="177">
        <f t="shared" si="135"/>
        <v>0</v>
      </c>
      <c r="AP61" s="177">
        <f t="shared" si="135"/>
        <v>0</v>
      </c>
      <c r="AQ61" s="177">
        <f t="shared" si="136"/>
        <v>0</v>
      </c>
      <c r="AR61" s="177">
        <f t="shared" si="137"/>
        <v>0</v>
      </c>
      <c r="AS61" s="178">
        <f t="shared" si="138"/>
        <v>0</v>
      </c>
      <c r="AT61" s="177"/>
      <c r="AU61" s="177"/>
      <c r="AV61" s="177"/>
      <c r="AW61" s="177"/>
      <c r="AX61" s="177"/>
      <c r="AY61" s="177"/>
      <c r="AZ61" s="177"/>
      <c r="BA61" s="177"/>
      <c r="BB61" s="177"/>
      <c r="BC61" s="177"/>
      <c r="BD61" s="177"/>
      <c r="BE61" s="177"/>
      <c r="BF61" s="179"/>
      <c r="BG61" s="177"/>
      <c r="BH61" s="177"/>
      <c r="BI61" s="177"/>
      <c r="BJ61" s="177"/>
      <c r="BK61" s="177"/>
      <c r="BL61" s="177"/>
      <c r="BM61" s="177"/>
      <c r="BN61" s="177"/>
      <c r="BO61" s="177"/>
      <c r="BP61" s="177"/>
      <c r="BQ61" s="177"/>
      <c r="BR61" s="179"/>
      <c r="BS61" s="177"/>
      <c r="BT61" s="177"/>
      <c r="BU61" s="177"/>
      <c r="BV61" s="177"/>
      <c r="BW61" s="177"/>
      <c r="BX61" s="177"/>
      <c r="BY61" s="177"/>
      <c r="BZ61" s="177"/>
      <c r="CA61" s="177"/>
      <c r="CB61" s="179"/>
      <c r="CC61" s="177"/>
      <c r="CD61" s="177"/>
      <c r="CE61" s="177"/>
      <c r="CF61" s="177"/>
      <c r="CG61" s="177"/>
      <c r="CH61" s="177"/>
      <c r="CI61" s="177"/>
      <c r="CJ61" s="177"/>
      <c r="CK61" s="178"/>
      <c r="CL61" s="180">
        <v>907545</v>
      </c>
    </row>
    <row r="62" spans="1:90">
      <c r="A62" s="93">
        <f>ROWS($A$3:A60)</f>
        <v>58</v>
      </c>
      <c r="B62" s="106" t="s">
        <v>59</v>
      </c>
      <c r="C62" s="242">
        <v>2008</v>
      </c>
      <c r="D62" s="314" t="s">
        <v>14</v>
      </c>
      <c r="E62" s="316">
        <v>40442</v>
      </c>
      <c r="F62" s="156">
        <v>791</v>
      </c>
      <c r="G62" s="177">
        <v>406</v>
      </c>
      <c r="H62" s="177">
        <v>1015</v>
      </c>
      <c r="I62" s="178">
        <v>385</v>
      </c>
      <c r="J62" s="181"/>
      <c r="K62" s="156">
        <f t="shared" si="107"/>
        <v>87</v>
      </c>
      <c r="L62" s="177">
        <f t="shared" si="108"/>
        <v>179</v>
      </c>
      <c r="M62" s="177">
        <f t="shared" si="109"/>
        <v>51</v>
      </c>
      <c r="N62" s="177">
        <f t="shared" si="110"/>
        <v>41</v>
      </c>
      <c r="O62" s="177">
        <f t="shared" si="111"/>
        <v>16</v>
      </c>
      <c r="P62" s="177">
        <f t="shared" si="112"/>
        <v>122</v>
      </c>
      <c r="Q62" s="177">
        <f>'2009'!AU62</f>
        <v>29</v>
      </c>
      <c r="R62" s="177">
        <f t="shared" si="113"/>
        <v>52</v>
      </c>
      <c r="S62" s="177">
        <f t="shared" si="114"/>
        <v>41</v>
      </c>
      <c r="T62" s="177">
        <f t="shared" si="139"/>
        <v>80</v>
      </c>
      <c r="U62" s="179">
        <f t="shared" si="139"/>
        <v>93</v>
      </c>
      <c r="V62" s="177">
        <f t="shared" si="116"/>
        <v>78</v>
      </c>
      <c r="W62" s="177">
        <f t="shared" si="117"/>
        <v>51</v>
      </c>
      <c r="X62" s="177">
        <f t="shared" si="118"/>
        <v>54</v>
      </c>
      <c r="Y62" s="177">
        <f t="shared" si="119"/>
        <v>66</v>
      </c>
      <c r="Z62" s="177">
        <f t="shared" si="120"/>
        <v>42</v>
      </c>
      <c r="AA62" s="177">
        <f t="shared" si="121"/>
        <v>51</v>
      </c>
      <c r="AB62" s="179">
        <f t="shared" si="122"/>
        <v>64</v>
      </c>
      <c r="AC62" s="177">
        <f t="shared" si="123"/>
        <v>123</v>
      </c>
      <c r="AD62" s="177">
        <f t="shared" si="124"/>
        <v>78</v>
      </c>
      <c r="AE62" s="177">
        <f t="shared" si="125"/>
        <v>127</v>
      </c>
      <c r="AF62" s="177">
        <f t="shared" si="126"/>
        <v>132</v>
      </c>
      <c r="AG62" s="177">
        <f t="shared" si="127"/>
        <v>146</v>
      </c>
      <c r="AH62" s="177">
        <f t="shared" si="128"/>
        <v>101</v>
      </c>
      <c r="AI62" s="177">
        <f t="shared" si="129"/>
        <v>44</v>
      </c>
      <c r="AJ62" s="177">
        <f t="shared" si="130"/>
        <v>71</v>
      </c>
      <c r="AK62" s="179">
        <f t="shared" si="131"/>
        <v>193</v>
      </c>
      <c r="AL62" s="177">
        <f t="shared" si="132"/>
        <v>42</v>
      </c>
      <c r="AM62" s="177">
        <f t="shared" si="133"/>
        <v>52</v>
      </c>
      <c r="AN62" s="177">
        <f t="shared" si="134"/>
        <v>81</v>
      </c>
      <c r="AO62" s="177">
        <f t="shared" si="135"/>
        <v>45</v>
      </c>
      <c r="AP62" s="177">
        <f t="shared" si="135"/>
        <v>14</v>
      </c>
      <c r="AQ62" s="177">
        <f t="shared" si="136"/>
        <v>66</v>
      </c>
      <c r="AR62" s="177">
        <f t="shared" si="137"/>
        <v>42</v>
      </c>
      <c r="AS62" s="178">
        <f t="shared" si="138"/>
        <v>43</v>
      </c>
      <c r="AT62" s="181">
        <v>4</v>
      </c>
      <c r="AU62" s="181">
        <v>29</v>
      </c>
      <c r="AV62" s="181">
        <v>41</v>
      </c>
      <c r="AW62" s="181">
        <v>41</v>
      </c>
      <c r="AX62" s="181">
        <v>48</v>
      </c>
      <c r="AY62" s="177">
        <v>179</v>
      </c>
      <c r="AZ62" s="177">
        <v>8</v>
      </c>
      <c r="BA62" s="177">
        <v>114</v>
      </c>
      <c r="BB62" s="177">
        <v>80</v>
      </c>
      <c r="BC62" s="177">
        <v>93</v>
      </c>
      <c r="BD62" s="177">
        <v>51</v>
      </c>
      <c r="BE62" s="177">
        <v>16</v>
      </c>
      <c r="BF62" s="179">
        <v>87</v>
      </c>
      <c r="BG62" s="177">
        <v>9</v>
      </c>
      <c r="BH62" s="177">
        <v>4</v>
      </c>
      <c r="BI62" s="177">
        <v>50</v>
      </c>
      <c r="BJ62" s="177">
        <v>69</v>
      </c>
      <c r="BK62" s="177">
        <v>9</v>
      </c>
      <c r="BL62" s="177">
        <v>3</v>
      </c>
      <c r="BM62" s="177">
        <v>42</v>
      </c>
      <c r="BN62" s="177">
        <v>54</v>
      </c>
      <c r="BO62" s="177">
        <v>7</v>
      </c>
      <c r="BP62" s="177">
        <v>64</v>
      </c>
      <c r="BQ62" s="177">
        <v>44</v>
      </c>
      <c r="BR62" s="179">
        <v>51</v>
      </c>
      <c r="BS62" s="177">
        <v>9</v>
      </c>
      <c r="BT62" s="177">
        <v>118</v>
      </c>
      <c r="BU62" s="177">
        <v>78</v>
      </c>
      <c r="BV62" s="177">
        <v>146</v>
      </c>
      <c r="BW62" s="177">
        <v>44</v>
      </c>
      <c r="BX62" s="177">
        <v>123</v>
      </c>
      <c r="BY62" s="177">
        <v>71</v>
      </c>
      <c r="BZ62" s="177">
        <v>101</v>
      </c>
      <c r="CA62" s="177">
        <v>132</v>
      </c>
      <c r="CB62" s="179">
        <v>193</v>
      </c>
      <c r="CC62" s="177">
        <v>45</v>
      </c>
      <c r="CD62" s="177">
        <v>14</v>
      </c>
      <c r="CE62" s="177">
        <v>42</v>
      </c>
      <c r="CF62" s="177">
        <v>3</v>
      </c>
      <c r="CG62" s="177">
        <v>40</v>
      </c>
      <c r="CH62" s="177">
        <v>52</v>
      </c>
      <c r="CI62" s="177">
        <v>42</v>
      </c>
      <c r="CJ62" s="177">
        <v>81</v>
      </c>
      <c r="CK62" s="178">
        <v>66</v>
      </c>
      <c r="CL62" s="180">
        <v>2597</v>
      </c>
    </row>
    <row r="63" spans="1:90">
      <c r="A63" s="93">
        <f>ROWS($A$3:A61)</f>
        <v>59</v>
      </c>
      <c r="B63" s="106"/>
      <c r="C63" s="243"/>
      <c r="D63" s="314" t="s">
        <v>1</v>
      </c>
      <c r="E63" s="333"/>
      <c r="F63" s="156">
        <v>279632</v>
      </c>
      <c r="G63" s="177">
        <v>195662</v>
      </c>
      <c r="H63" s="177">
        <v>147874</v>
      </c>
      <c r="I63" s="178">
        <v>295189</v>
      </c>
      <c r="J63" s="181"/>
      <c r="K63" s="156">
        <f t="shared" si="107"/>
        <v>40281</v>
      </c>
      <c r="L63" s="177">
        <f t="shared" si="108"/>
        <v>7673</v>
      </c>
      <c r="M63" s="177">
        <f t="shared" si="109"/>
        <v>51742</v>
      </c>
      <c r="N63" s="177">
        <f t="shared" si="110"/>
        <v>21225</v>
      </c>
      <c r="O63" s="177">
        <f t="shared" si="111"/>
        <v>59207</v>
      </c>
      <c r="P63" s="177">
        <f t="shared" si="112"/>
        <v>27456</v>
      </c>
      <c r="Q63" s="177">
        <f>'2009'!AU63</f>
        <v>26417</v>
      </c>
      <c r="R63" s="177">
        <f t="shared" si="113"/>
        <v>16873</v>
      </c>
      <c r="S63" s="177">
        <f t="shared" si="114"/>
        <v>9075</v>
      </c>
      <c r="T63" s="177">
        <f t="shared" si="139"/>
        <v>13640</v>
      </c>
      <c r="U63" s="179">
        <f t="shared" si="139"/>
        <v>6042</v>
      </c>
      <c r="V63" s="177">
        <f t="shared" si="116"/>
        <v>17344</v>
      </c>
      <c r="W63" s="177">
        <f t="shared" si="117"/>
        <v>16949</v>
      </c>
      <c r="X63" s="177">
        <f t="shared" si="118"/>
        <v>41890</v>
      </c>
      <c r="Y63" s="177">
        <f t="shared" si="119"/>
        <v>40175</v>
      </c>
      <c r="Z63" s="177">
        <f t="shared" si="120"/>
        <v>29657</v>
      </c>
      <c r="AA63" s="177">
        <f t="shared" si="121"/>
        <v>27461</v>
      </c>
      <c r="AB63" s="179">
        <f t="shared" si="122"/>
        <v>22186</v>
      </c>
      <c r="AC63" s="177">
        <f t="shared" si="123"/>
        <v>17138</v>
      </c>
      <c r="AD63" s="177">
        <f t="shared" si="124"/>
        <v>8052</v>
      </c>
      <c r="AE63" s="177">
        <f t="shared" si="125"/>
        <v>18998</v>
      </c>
      <c r="AF63" s="177">
        <f t="shared" si="126"/>
        <v>9538</v>
      </c>
      <c r="AG63" s="177">
        <f t="shared" si="127"/>
        <v>19314</v>
      </c>
      <c r="AH63" s="177">
        <f t="shared" si="128"/>
        <v>20918</v>
      </c>
      <c r="AI63" s="177">
        <f t="shared" si="129"/>
        <v>18038</v>
      </c>
      <c r="AJ63" s="177">
        <f t="shared" si="130"/>
        <v>14778</v>
      </c>
      <c r="AK63" s="179">
        <f t="shared" si="131"/>
        <v>21098</v>
      </c>
      <c r="AL63" s="177">
        <f t="shared" si="132"/>
        <v>27350</v>
      </c>
      <c r="AM63" s="177">
        <f t="shared" si="133"/>
        <v>26428</v>
      </c>
      <c r="AN63" s="177">
        <f t="shared" si="134"/>
        <v>20580</v>
      </c>
      <c r="AO63" s="177">
        <f t="shared" si="135"/>
        <v>65812</v>
      </c>
      <c r="AP63" s="177">
        <f t="shared" si="135"/>
        <v>12118</v>
      </c>
      <c r="AQ63" s="177">
        <f t="shared" si="136"/>
        <v>40540</v>
      </c>
      <c r="AR63" s="177">
        <f t="shared" si="137"/>
        <v>8313</v>
      </c>
      <c r="AS63" s="178">
        <f t="shared" si="138"/>
        <v>94048</v>
      </c>
      <c r="AT63" s="177">
        <v>1262</v>
      </c>
      <c r="AU63" s="177">
        <v>26417</v>
      </c>
      <c r="AV63" s="177">
        <v>9075</v>
      </c>
      <c r="AW63" s="177">
        <v>21225</v>
      </c>
      <c r="AX63" s="177">
        <v>15611</v>
      </c>
      <c r="AY63" s="177">
        <v>7673</v>
      </c>
      <c r="AZ63" s="177">
        <v>2749</v>
      </c>
      <c r="BA63" s="177">
        <v>24707</v>
      </c>
      <c r="BB63" s="177">
        <v>13640</v>
      </c>
      <c r="BC63" s="177">
        <v>6042</v>
      </c>
      <c r="BD63" s="177">
        <v>51742</v>
      </c>
      <c r="BE63" s="177">
        <v>59207</v>
      </c>
      <c r="BF63" s="179">
        <v>40281</v>
      </c>
      <c r="BG63" s="177">
        <v>2570</v>
      </c>
      <c r="BH63" s="177">
        <v>6757</v>
      </c>
      <c r="BI63" s="177">
        <v>35133</v>
      </c>
      <c r="BJ63" s="177">
        <v>14774</v>
      </c>
      <c r="BK63" s="177">
        <v>4213</v>
      </c>
      <c r="BL63" s="177">
        <v>2956</v>
      </c>
      <c r="BM63" s="177">
        <v>29657</v>
      </c>
      <c r="BN63" s="177">
        <v>33006</v>
      </c>
      <c r="BO63" s="177">
        <v>3968</v>
      </c>
      <c r="BP63" s="177">
        <v>22186</v>
      </c>
      <c r="BQ63" s="177">
        <v>23493</v>
      </c>
      <c r="BR63" s="179">
        <v>16949</v>
      </c>
      <c r="BS63" s="177">
        <v>2004</v>
      </c>
      <c r="BT63" s="177">
        <v>16994</v>
      </c>
      <c r="BU63" s="177">
        <v>8052</v>
      </c>
      <c r="BV63" s="177">
        <v>19314</v>
      </c>
      <c r="BW63" s="177">
        <v>18038</v>
      </c>
      <c r="BX63" s="177">
        <v>17138</v>
      </c>
      <c r="BY63" s="177">
        <v>14778</v>
      </c>
      <c r="BZ63" s="177">
        <v>20918</v>
      </c>
      <c r="CA63" s="177">
        <v>9538</v>
      </c>
      <c r="CB63" s="179">
        <v>21098</v>
      </c>
      <c r="CC63" s="177">
        <v>65812</v>
      </c>
      <c r="CD63" s="177">
        <v>12118</v>
      </c>
      <c r="CE63" s="177">
        <v>27350</v>
      </c>
      <c r="CF63" s="177">
        <v>827</v>
      </c>
      <c r="CG63" s="177">
        <v>93221</v>
      </c>
      <c r="CH63" s="177">
        <v>26428</v>
      </c>
      <c r="CI63" s="177">
        <v>8313</v>
      </c>
      <c r="CJ63" s="177">
        <v>20580</v>
      </c>
      <c r="CK63" s="178">
        <v>40540</v>
      </c>
      <c r="CL63" s="180">
        <v>918358</v>
      </c>
    </row>
    <row r="64" spans="1:90">
      <c r="A64" s="93">
        <f>ROWS($A$3:A62)</f>
        <v>60</v>
      </c>
      <c r="B64" s="67" t="s">
        <v>86</v>
      </c>
      <c r="C64" s="243"/>
      <c r="D64" s="314"/>
      <c r="E64" s="333"/>
      <c r="F64" s="156"/>
      <c r="G64" s="177"/>
      <c r="H64" s="177"/>
      <c r="I64" s="178"/>
      <c r="J64" s="181"/>
      <c r="K64" s="156"/>
      <c r="L64" s="177"/>
      <c r="M64" s="177"/>
      <c r="N64" s="177"/>
      <c r="O64" s="177"/>
      <c r="P64" s="177"/>
      <c r="Q64" s="177"/>
      <c r="R64" s="177"/>
      <c r="S64" s="177"/>
      <c r="T64" s="177"/>
      <c r="U64" s="179"/>
      <c r="V64" s="177"/>
      <c r="W64" s="177"/>
      <c r="X64" s="177"/>
      <c r="Y64" s="177"/>
      <c r="Z64" s="177"/>
      <c r="AA64" s="177"/>
      <c r="AB64" s="179"/>
      <c r="AC64" s="177"/>
      <c r="AD64" s="177"/>
      <c r="AE64" s="177"/>
      <c r="AF64" s="177"/>
      <c r="AG64" s="177"/>
      <c r="AH64" s="177"/>
      <c r="AI64" s="177"/>
      <c r="AJ64" s="177"/>
      <c r="AK64" s="179"/>
      <c r="AL64" s="177"/>
      <c r="AM64" s="177"/>
      <c r="AN64" s="177"/>
      <c r="AO64" s="177"/>
      <c r="AP64" s="177"/>
      <c r="AQ64" s="177"/>
      <c r="AR64" s="177"/>
      <c r="AS64" s="178"/>
      <c r="AT64" s="177"/>
      <c r="AU64" s="177"/>
      <c r="AV64" s="177"/>
      <c r="AW64" s="177"/>
      <c r="AX64" s="177"/>
      <c r="AY64" s="177"/>
      <c r="AZ64" s="177"/>
      <c r="BA64" s="177"/>
      <c r="BB64" s="177"/>
      <c r="BC64" s="177"/>
      <c r="BD64" s="177"/>
      <c r="BE64" s="177"/>
      <c r="BF64" s="179"/>
      <c r="BG64" s="177"/>
      <c r="BH64" s="177"/>
      <c r="BI64" s="177"/>
      <c r="BJ64" s="177"/>
      <c r="BK64" s="177"/>
      <c r="BL64" s="177"/>
      <c r="BM64" s="177"/>
      <c r="BN64" s="177"/>
      <c r="BO64" s="177"/>
      <c r="BP64" s="177"/>
      <c r="BQ64" s="177"/>
      <c r="BR64" s="179"/>
      <c r="BS64" s="177"/>
      <c r="BT64" s="177"/>
      <c r="BU64" s="177"/>
      <c r="BV64" s="177"/>
      <c r="BW64" s="177"/>
      <c r="BX64" s="177"/>
      <c r="BY64" s="177"/>
      <c r="BZ64" s="177"/>
      <c r="CA64" s="177"/>
      <c r="CB64" s="179"/>
      <c r="CC64" s="177"/>
      <c r="CD64" s="177"/>
      <c r="CE64" s="177"/>
      <c r="CF64" s="177"/>
      <c r="CG64" s="177"/>
      <c r="CH64" s="177"/>
      <c r="CI64" s="177"/>
      <c r="CJ64" s="177"/>
      <c r="CK64" s="178"/>
      <c r="CL64" s="180"/>
    </row>
    <row r="65" spans="1:90">
      <c r="A65" s="93">
        <f>ROWS($A$3:A63)</f>
        <v>61</v>
      </c>
      <c r="B65" s="62" t="s">
        <v>85</v>
      </c>
      <c r="C65" s="242">
        <v>2009</v>
      </c>
      <c r="D65" s="314" t="s">
        <v>62</v>
      </c>
      <c r="E65" s="333"/>
      <c r="F65" s="182">
        <f>SUM(AT65:BF65)</f>
        <v>282814.08999999997</v>
      </c>
      <c r="G65" s="183">
        <f>SUM(BG65:BR65)</f>
        <v>75094.25</v>
      </c>
      <c r="H65" s="183">
        <f>SUM(BS65:CB65)</f>
        <v>224749.84000000003</v>
      </c>
      <c r="I65" s="184">
        <f>SUM(CC65:CK65)</f>
        <v>231643.71</v>
      </c>
      <c r="J65" s="181">
        <f t="shared" ref="J65:AK65" si="140">J35*J93%</f>
        <v>0</v>
      </c>
      <c r="K65" s="185">
        <f t="shared" si="140"/>
        <v>64119.909999999996</v>
      </c>
      <c r="L65" s="186">
        <f t="shared" si="140"/>
        <v>16787.84</v>
      </c>
      <c r="M65" s="186">
        <f t="shared" si="140"/>
        <v>45707.64</v>
      </c>
      <c r="N65" s="186">
        <f t="shared" si="140"/>
        <v>21340.5</v>
      </c>
      <c r="O65" s="186">
        <f t="shared" si="140"/>
        <v>13707.2</v>
      </c>
      <c r="P65" s="177">
        <f t="shared" si="140"/>
        <v>4384.1600000000008</v>
      </c>
      <c r="Q65" s="186">
        <f t="shared" si="140"/>
        <v>11514.78</v>
      </c>
      <c r="R65" s="186">
        <f t="shared" si="140"/>
        <v>0</v>
      </c>
      <c r="S65" s="186">
        <f t="shared" si="140"/>
        <v>11758.109999999999</v>
      </c>
      <c r="T65" s="186">
        <f t="shared" si="140"/>
        <v>21397.56</v>
      </c>
      <c r="U65" s="187">
        <f t="shared" si="140"/>
        <v>72096.39</v>
      </c>
      <c r="V65" s="186">
        <f t="shared" si="140"/>
        <v>2989.0499999999997</v>
      </c>
      <c r="W65" s="186">
        <f t="shared" si="140"/>
        <v>16013.779999999999</v>
      </c>
      <c r="X65" s="186">
        <f t="shared" si="140"/>
        <v>1495.8799999999999</v>
      </c>
      <c r="Y65" s="186">
        <f t="shared" si="140"/>
        <v>2712.2599999999998</v>
      </c>
      <c r="Z65" s="186">
        <f t="shared" si="140"/>
        <v>30455.100000000002</v>
      </c>
      <c r="AA65" s="186">
        <f t="shared" si="140"/>
        <v>8445.6200000000008</v>
      </c>
      <c r="AB65" s="187">
        <f t="shared" si="140"/>
        <v>12982.56</v>
      </c>
      <c r="AC65" s="186">
        <f t="shared" si="140"/>
        <v>37891.199999999997</v>
      </c>
      <c r="AD65" s="186">
        <f t="shared" si="140"/>
        <v>10548.26</v>
      </c>
      <c r="AE65" s="186">
        <f t="shared" si="140"/>
        <v>25633.859999999997</v>
      </c>
      <c r="AF65" s="186">
        <f t="shared" si="140"/>
        <v>13626.419999999998</v>
      </c>
      <c r="AG65" s="186">
        <f t="shared" si="140"/>
        <v>22344.38</v>
      </c>
      <c r="AH65" s="186">
        <f t="shared" si="140"/>
        <v>20359.719999999998</v>
      </c>
      <c r="AI65" s="186">
        <f t="shared" si="140"/>
        <v>30854</v>
      </c>
      <c r="AJ65" s="186">
        <f t="shared" si="140"/>
        <v>24325</v>
      </c>
      <c r="AK65" s="187">
        <f t="shared" si="140"/>
        <v>39167</v>
      </c>
      <c r="AL65" s="186">
        <f t="shared" ref="AL65:BQ65" si="141">AL35*AL93%</f>
        <v>33426.82</v>
      </c>
      <c r="AM65" s="186">
        <f t="shared" si="141"/>
        <v>11637.3</v>
      </c>
      <c r="AN65" s="186">
        <f t="shared" si="141"/>
        <v>50914.719999999994</v>
      </c>
      <c r="AO65" s="186">
        <f t="shared" si="141"/>
        <v>42481.04</v>
      </c>
      <c r="AP65" s="186">
        <f t="shared" si="141"/>
        <v>10530.04</v>
      </c>
      <c r="AQ65" s="186">
        <f t="shared" si="141"/>
        <v>40282.129999999997</v>
      </c>
      <c r="AR65" s="186">
        <f t="shared" si="141"/>
        <v>8855.34</v>
      </c>
      <c r="AS65" s="190">
        <f t="shared" si="141"/>
        <v>33516.32</v>
      </c>
      <c r="AT65" s="186">
        <f t="shared" si="141"/>
        <v>0</v>
      </c>
      <c r="AU65" s="183">
        <f t="shared" si="141"/>
        <v>11514.78</v>
      </c>
      <c r="AV65" s="183">
        <f t="shared" si="141"/>
        <v>11758.109999999999</v>
      </c>
      <c r="AW65" s="183">
        <f t="shared" si="141"/>
        <v>21340.5</v>
      </c>
      <c r="AX65" s="183">
        <f t="shared" si="141"/>
        <v>0</v>
      </c>
      <c r="AY65" s="183">
        <f t="shared" si="141"/>
        <v>16787.84</v>
      </c>
      <c r="AZ65" s="183">
        <f t="shared" si="141"/>
        <v>0</v>
      </c>
      <c r="BA65" s="183">
        <f t="shared" si="141"/>
        <v>4384.16</v>
      </c>
      <c r="BB65" s="183">
        <f t="shared" si="141"/>
        <v>21397.56</v>
      </c>
      <c r="BC65" s="183">
        <f t="shared" si="141"/>
        <v>72096.39</v>
      </c>
      <c r="BD65" s="183">
        <f t="shared" si="141"/>
        <v>45707.64</v>
      </c>
      <c r="BE65" s="183">
        <f t="shared" si="141"/>
        <v>13707.2</v>
      </c>
      <c r="BF65" s="188">
        <f t="shared" si="141"/>
        <v>64119.909999999996</v>
      </c>
      <c r="BG65" s="183">
        <f t="shared" si="141"/>
        <v>1204.05</v>
      </c>
      <c r="BH65" s="183">
        <f t="shared" si="141"/>
        <v>0</v>
      </c>
      <c r="BI65" s="183">
        <f t="shared" si="141"/>
        <v>1495.88</v>
      </c>
      <c r="BJ65" s="183">
        <f t="shared" si="141"/>
        <v>1785</v>
      </c>
      <c r="BK65" s="183">
        <f t="shared" si="141"/>
        <v>18.38</v>
      </c>
      <c r="BL65" s="183">
        <f t="shared" si="141"/>
        <v>0</v>
      </c>
      <c r="BM65" s="183">
        <f t="shared" si="141"/>
        <v>30455.100000000002</v>
      </c>
      <c r="BN65" s="183">
        <f t="shared" si="141"/>
        <v>2693.88</v>
      </c>
      <c r="BO65" s="183">
        <f t="shared" si="141"/>
        <v>208.10999999999999</v>
      </c>
      <c r="BP65" s="183">
        <f t="shared" si="141"/>
        <v>12982.56</v>
      </c>
      <c r="BQ65" s="183">
        <f t="shared" si="141"/>
        <v>8237.51</v>
      </c>
      <c r="BR65" s="188">
        <f t="shared" ref="BR65:CK65" si="142">BR35*BR93%</f>
        <v>16013.779999999999</v>
      </c>
      <c r="BS65" s="183">
        <f t="shared" si="142"/>
        <v>748.86</v>
      </c>
      <c r="BT65" s="183">
        <f t="shared" si="142"/>
        <v>24885</v>
      </c>
      <c r="BU65" s="183">
        <f t="shared" si="142"/>
        <v>10548.26</v>
      </c>
      <c r="BV65" s="183">
        <f t="shared" si="142"/>
        <v>22344.38</v>
      </c>
      <c r="BW65" s="183">
        <f t="shared" si="142"/>
        <v>30854</v>
      </c>
      <c r="BX65" s="183">
        <f t="shared" si="142"/>
        <v>37891.199999999997</v>
      </c>
      <c r="BY65" s="183">
        <f t="shared" si="142"/>
        <v>24325</v>
      </c>
      <c r="BZ65" s="183">
        <f t="shared" si="142"/>
        <v>20359.719999999998</v>
      </c>
      <c r="CA65" s="183">
        <f t="shared" si="142"/>
        <v>13626.419999999998</v>
      </c>
      <c r="CB65" s="188">
        <f t="shared" si="142"/>
        <v>39167</v>
      </c>
      <c r="CC65" s="183">
        <f t="shared" si="142"/>
        <v>42481.04</v>
      </c>
      <c r="CD65" s="183">
        <f t="shared" si="142"/>
        <v>10530.04</v>
      </c>
      <c r="CE65" s="183">
        <f t="shared" si="142"/>
        <v>33426.82</v>
      </c>
      <c r="CF65" s="183">
        <f t="shared" si="142"/>
        <v>334.6</v>
      </c>
      <c r="CG65" s="183">
        <f t="shared" si="142"/>
        <v>33181.72</v>
      </c>
      <c r="CH65" s="183">
        <f t="shared" si="142"/>
        <v>11637.3</v>
      </c>
      <c r="CI65" s="183">
        <f t="shared" si="142"/>
        <v>8855.34</v>
      </c>
      <c r="CJ65" s="183">
        <f t="shared" si="142"/>
        <v>50914.719999999994</v>
      </c>
      <c r="CK65" s="184">
        <f t="shared" si="142"/>
        <v>40282.129999999997</v>
      </c>
      <c r="CL65" s="180">
        <f>SUM(AT65:CK65)</f>
        <v>814301.89</v>
      </c>
    </row>
    <row r="66" spans="1:90">
      <c r="A66" s="93">
        <f>ROWS($A$3:A64)</f>
        <v>62</v>
      </c>
      <c r="B66" s="106" t="s">
        <v>281</v>
      </c>
      <c r="C66" s="243"/>
      <c r="D66" s="314" t="s">
        <v>56</v>
      </c>
      <c r="E66" s="333"/>
      <c r="F66" s="156">
        <f>SUM(AT66:BF66)</f>
        <v>198501</v>
      </c>
      <c r="G66" s="177">
        <f>SUM(BG66:BR66)</f>
        <v>54237</v>
      </c>
      <c r="H66" s="177">
        <f>SUM(BS66:CB66)</f>
        <v>117027</v>
      </c>
      <c r="I66" s="178">
        <f>SUM(CC66:CK66)</f>
        <v>169021</v>
      </c>
      <c r="J66" s="181"/>
      <c r="K66" s="156">
        <f>BF66</f>
        <v>45992</v>
      </c>
      <c r="L66" s="177">
        <f>AY66</f>
        <v>12633</v>
      </c>
      <c r="M66" s="177">
        <f>BD66</f>
        <v>31112</v>
      </c>
      <c r="N66" s="177">
        <f>AW66</f>
        <v>13640</v>
      </c>
      <c r="O66" s="177">
        <f>BE66</f>
        <v>11336</v>
      </c>
      <c r="P66" s="177">
        <f>AZ66+BA66</f>
        <v>2657</v>
      </c>
      <c r="Q66" s="177">
        <f>AU66</f>
        <v>8570</v>
      </c>
      <c r="R66" s="177">
        <f>AT66+AX66</f>
        <v>624</v>
      </c>
      <c r="S66" s="177">
        <f>AV66</f>
        <v>7544</v>
      </c>
      <c r="T66" s="177">
        <f>BB66</f>
        <v>14664</v>
      </c>
      <c r="U66" s="179">
        <f>BC66</f>
        <v>49729</v>
      </c>
      <c r="V66" s="177">
        <f>BG66+BJ66</f>
        <v>1865</v>
      </c>
      <c r="W66" s="177">
        <f>BR66</f>
        <v>12014</v>
      </c>
      <c r="X66" s="177">
        <f>BH66+BI66</f>
        <v>1469</v>
      </c>
      <c r="Y66" s="177">
        <f>BK66+BL66+BN66</f>
        <v>2960</v>
      </c>
      <c r="Z66" s="177">
        <f>BM66</f>
        <v>19982</v>
      </c>
      <c r="AA66" s="177">
        <f>BO66+BQ66</f>
        <v>6260</v>
      </c>
      <c r="AB66" s="179">
        <f>BP66</f>
        <v>9687</v>
      </c>
      <c r="AC66" s="177">
        <f>BX66</f>
        <v>20196</v>
      </c>
      <c r="AD66" s="177">
        <f>BU66</f>
        <v>6276</v>
      </c>
      <c r="AE66" s="177">
        <f>BS66+BT66</f>
        <v>4795</v>
      </c>
      <c r="AF66" s="177">
        <f>CA66</f>
        <v>4141</v>
      </c>
      <c r="AG66" s="177">
        <f>BV66</f>
        <v>14603</v>
      </c>
      <c r="AH66" s="177">
        <f>BZ66</f>
        <v>14822</v>
      </c>
      <c r="AI66" s="177">
        <f>BW66</f>
        <v>21256</v>
      </c>
      <c r="AJ66" s="177">
        <f>BY66</f>
        <v>11525</v>
      </c>
      <c r="AK66" s="179">
        <f>CB66</f>
        <v>19413</v>
      </c>
      <c r="AL66" s="177">
        <f>CE66</f>
        <v>16093</v>
      </c>
      <c r="AM66" s="177">
        <f>CH66</f>
        <v>10502</v>
      </c>
      <c r="AN66" s="177">
        <f>CJ66</f>
        <v>44582</v>
      </c>
      <c r="AO66" s="177">
        <f>CC66</f>
        <v>31611</v>
      </c>
      <c r="AP66" s="177">
        <f>CD66</f>
        <v>7470</v>
      </c>
      <c r="AQ66" s="177">
        <f>CK66</f>
        <v>28418</v>
      </c>
      <c r="AR66" s="177">
        <f>CI66</f>
        <v>5744</v>
      </c>
      <c r="AS66" s="178">
        <f>CF66+CG66</f>
        <v>24601</v>
      </c>
      <c r="AT66" s="181">
        <v>0</v>
      </c>
      <c r="AU66" s="177">
        <v>8570</v>
      </c>
      <c r="AV66" s="177">
        <f>8334-790</f>
        <v>7544</v>
      </c>
      <c r="AW66" s="181">
        <f>17404-3764</f>
        <v>13640</v>
      </c>
      <c r="AX66" s="177">
        <v>624</v>
      </c>
      <c r="AY66" s="177">
        <v>12633</v>
      </c>
      <c r="AZ66" s="177">
        <v>0</v>
      </c>
      <c r="BA66" s="177">
        <v>2657</v>
      </c>
      <c r="BB66" s="177">
        <v>14664</v>
      </c>
      <c r="BC66" s="177">
        <v>49729</v>
      </c>
      <c r="BD66" s="177">
        <v>31112</v>
      </c>
      <c r="BE66" s="177">
        <v>11336</v>
      </c>
      <c r="BF66" s="179">
        <f>46506-514</f>
        <v>45992</v>
      </c>
      <c r="BG66" s="177">
        <v>0</v>
      </c>
      <c r="BH66" s="177">
        <v>0</v>
      </c>
      <c r="BI66" s="177">
        <f>1567-98</f>
        <v>1469</v>
      </c>
      <c r="BJ66" s="177">
        <f>2144-279</f>
        <v>1865</v>
      </c>
      <c r="BK66" s="177">
        <v>0</v>
      </c>
      <c r="BL66" s="177">
        <v>0</v>
      </c>
      <c r="BM66" s="177">
        <v>19982</v>
      </c>
      <c r="BN66" s="177">
        <v>2960</v>
      </c>
      <c r="BO66" s="177">
        <v>0</v>
      </c>
      <c r="BP66" s="177">
        <f>10252-565</f>
        <v>9687</v>
      </c>
      <c r="BQ66" s="177">
        <f>6325-65</f>
        <v>6260</v>
      </c>
      <c r="BR66" s="179">
        <f>13400-1386</f>
        <v>12014</v>
      </c>
      <c r="BS66" s="177">
        <v>0</v>
      </c>
      <c r="BT66" s="177">
        <f>23734-18939</f>
        <v>4795</v>
      </c>
      <c r="BU66" s="177">
        <f>8507-2231</f>
        <v>6276</v>
      </c>
      <c r="BV66" s="177">
        <f>16747-2144</f>
        <v>14603</v>
      </c>
      <c r="BW66" s="177">
        <f>23166-1910</f>
        <v>21256</v>
      </c>
      <c r="BX66" s="177">
        <f>32979-12783</f>
        <v>20196</v>
      </c>
      <c r="BY66" s="177">
        <f>20443-8918</f>
        <v>11525</v>
      </c>
      <c r="BZ66" s="177">
        <f>14992-170</f>
        <v>14822</v>
      </c>
      <c r="CA66" s="177">
        <f>12723-8582</f>
        <v>4141</v>
      </c>
      <c r="CB66" s="179">
        <f>31351-11938</f>
        <v>19413</v>
      </c>
      <c r="CC66" s="177">
        <f>32575-964</f>
        <v>31611</v>
      </c>
      <c r="CD66" s="177">
        <f>7734-264</f>
        <v>7470</v>
      </c>
      <c r="CE66" s="177">
        <f>28854-12761</f>
        <v>16093</v>
      </c>
      <c r="CF66" s="177">
        <v>0</v>
      </c>
      <c r="CG66" s="177">
        <f>25958-1357</f>
        <v>24601</v>
      </c>
      <c r="CH66" s="177">
        <f>10517-15</f>
        <v>10502</v>
      </c>
      <c r="CI66" s="177">
        <f>6524-780</f>
        <v>5744</v>
      </c>
      <c r="CJ66" s="177">
        <f>46443-1861</f>
        <v>44582</v>
      </c>
      <c r="CK66" s="178">
        <f>30730-2312</f>
        <v>28418</v>
      </c>
      <c r="CL66" s="180">
        <f>SUM(AT66:CK66)</f>
        <v>538786</v>
      </c>
    </row>
    <row r="67" spans="1:90">
      <c r="A67" s="93">
        <f>ROWS($A$3:A65)</f>
        <v>63</v>
      </c>
      <c r="B67" s="106" t="s">
        <v>282</v>
      </c>
      <c r="C67" s="243"/>
      <c r="D67" s="314" t="s">
        <v>56</v>
      </c>
      <c r="E67" s="333"/>
      <c r="F67" s="156">
        <f>SUM(AT67:BF67)</f>
        <v>5467</v>
      </c>
      <c r="G67" s="177">
        <f>SUM(BG67:BR67)</f>
        <v>2393</v>
      </c>
      <c r="H67" s="177">
        <f>SUM(BS67:CB67)</f>
        <v>67615</v>
      </c>
      <c r="I67" s="178">
        <f>SUM(CC67:CK67)</f>
        <v>20314</v>
      </c>
      <c r="J67" s="181"/>
      <c r="K67" s="156">
        <f>BF67</f>
        <v>514</v>
      </c>
      <c r="L67" s="177">
        <f>AY67</f>
        <v>0</v>
      </c>
      <c r="M67" s="177">
        <f>BD67</f>
        <v>0</v>
      </c>
      <c r="N67" s="177">
        <f>AW67</f>
        <v>3764</v>
      </c>
      <c r="O67" s="177">
        <f>BE67</f>
        <v>0</v>
      </c>
      <c r="P67" s="177">
        <f>AZ67+BA67</f>
        <v>211</v>
      </c>
      <c r="Q67" s="177">
        <f>AU67</f>
        <v>0</v>
      </c>
      <c r="R67" s="177">
        <f>AT67+AX67</f>
        <v>188</v>
      </c>
      <c r="S67" s="177">
        <f>AV67</f>
        <v>790</v>
      </c>
      <c r="T67" s="177">
        <f>BB67</f>
        <v>0</v>
      </c>
      <c r="U67" s="179">
        <f>BC67</f>
        <v>0</v>
      </c>
      <c r="V67" s="177">
        <f>BG67+BJ67</f>
        <v>279</v>
      </c>
      <c r="W67" s="177">
        <f>BR67</f>
        <v>1386</v>
      </c>
      <c r="X67" s="177">
        <f>BH67+BI67</f>
        <v>98</v>
      </c>
      <c r="Y67" s="177">
        <f>BK67+BL67+BN67</f>
        <v>0</v>
      </c>
      <c r="Z67" s="177">
        <f>BM67</f>
        <v>0</v>
      </c>
      <c r="AA67" s="177">
        <f>BO67+BQ67</f>
        <v>65</v>
      </c>
      <c r="AB67" s="179">
        <f>BP67</f>
        <v>565</v>
      </c>
      <c r="AC67" s="177">
        <f>BX67</f>
        <v>12783</v>
      </c>
      <c r="AD67" s="177">
        <f>BU67</f>
        <v>2231</v>
      </c>
      <c r="AE67" s="177">
        <f>BS67+BT67</f>
        <v>18939</v>
      </c>
      <c r="AF67" s="177">
        <f>CA67</f>
        <v>8582</v>
      </c>
      <c r="AG67" s="177">
        <f>BV67</f>
        <v>2144</v>
      </c>
      <c r="AH67" s="177">
        <f>BZ67</f>
        <v>170</v>
      </c>
      <c r="AI67" s="177">
        <f>BW67</f>
        <v>1910</v>
      </c>
      <c r="AJ67" s="177">
        <f>BY67</f>
        <v>8918</v>
      </c>
      <c r="AK67" s="179">
        <f>CB67</f>
        <v>11938</v>
      </c>
      <c r="AL67" s="177">
        <f>CE67</f>
        <v>12761</v>
      </c>
      <c r="AM67" s="177">
        <f>CH67</f>
        <v>15</v>
      </c>
      <c r="AN67" s="177">
        <f>CJ67</f>
        <v>1861</v>
      </c>
      <c r="AO67" s="177">
        <f>CC67</f>
        <v>964</v>
      </c>
      <c r="AP67" s="177">
        <f>CD67</f>
        <v>264</v>
      </c>
      <c r="AQ67" s="177">
        <f>CK67</f>
        <v>2312</v>
      </c>
      <c r="AR67" s="177">
        <f>CI67</f>
        <v>780</v>
      </c>
      <c r="AS67" s="178">
        <f>CF67+CG67</f>
        <v>1357</v>
      </c>
      <c r="AT67" s="181">
        <v>0</v>
      </c>
      <c r="AU67" s="181">
        <v>0</v>
      </c>
      <c r="AV67" s="181">
        <v>790</v>
      </c>
      <c r="AW67" s="181">
        <v>3764</v>
      </c>
      <c r="AX67" s="181">
        <v>188</v>
      </c>
      <c r="AY67" s="177">
        <v>0</v>
      </c>
      <c r="AZ67" s="177">
        <v>0</v>
      </c>
      <c r="BA67" s="177">
        <v>211</v>
      </c>
      <c r="BB67" s="177">
        <v>0</v>
      </c>
      <c r="BC67" s="177">
        <v>0</v>
      </c>
      <c r="BD67" s="177">
        <v>0</v>
      </c>
      <c r="BE67" s="177">
        <v>0</v>
      </c>
      <c r="BF67" s="179">
        <v>514</v>
      </c>
      <c r="BG67" s="177">
        <v>0</v>
      </c>
      <c r="BH67" s="177">
        <v>0</v>
      </c>
      <c r="BI67" s="177">
        <v>98</v>
      </c>
      <c r="BJ67" s="177">
        <v>279</v>
      </c>
      <c r="BK67" s="177">
        <v>0</v>
      </c>
      <c r="BL67" s="177">
        <v>0</v>
      </c>
      <c r="BM67" s="177">
        <v>0</v>
      </c>
      <c r="BN67" s="177">
        <v>0</v>
      </c>
      <c r="BO67" s="177">
        <v>0</v>
      </c>
      <c r="BP67" s="177">
        <v>565</v>
      </c>
      <c r="BQ67" s="177">
        <v>65</v>
      </c>
      <c r="BR67" s="179">
        <v>1386</v>
      </c>
      <c r="BS67" s="177">
        <v>0</v>
      </c>
      <c r="BT67" s="177">
        <v>18939</v>
      </c>
      <c r="BU67" s="177">
        <v>2231</v>
      </c>
      <c r="BV67" s="177">
        <v>2144</v>
      </c>
      <c r="BW67" s="177">
        <v>1910</v>
      </c>
      <c r="BX67" s="177">
        <v>12783</v>
      </c>
      <c r="BY67" s="177">
        <v>8918</v>
      </c>
      <c r="BZ67" s="177">
        <v>170</v>
      </c>
      <c r="CA67" s="177">
        <v>8582</v>
      </c>
      <c r="CB67" s="179">
        <v>11938</v>
      </c>
      <c r="CC67" s="177">
        <v>964</v>
      </c>
      <c r="CD67" s="177">
        <v>264</v>
      </c>
      <c r="CE67" s="177">
        <v>12761</v>
      </c>
      <c r="CF67" s="177">
        <v>0</v>
      </c>
      <c r="CG67" s="177">
        <v>1357</v>
      </c>
      <c r="CH67" s="177">
        <v>15</v>
      </c>
      <c r="CI67" s="177">
        <v>780</v>
      </c>
      <c r="CJ67" s="177">
        <v>1861</v>
      </c>
      <c r="CK67" s="178">
        <v>2312</v>
      </c>
      <c r="CL67" s="180">
        <f>SUM(AT67:CK67)</f>
        <v>95789</v>
      </c>
    </row>
    <row r="68" spans="1:90">
      <c r="A68" s="93">
        <f>ROWS($A$3:A66)</f>
        <v>64</v>
      </c>
      <c r="B68" s="67" t="s">
        <v>87</v>
      </c>
      <c r="C68" s="243"/>
      <c r="D68" s="314"/>
      <c r="E68" s="333"/>
      <c r="F68" s="156"/>
      <c r="G68" s="177"/>
      <c r="H68" s="177"/>
      <c r="I68" s="178"/>
      <c r="J68" s="181"/>
      <c r="K68" s="156"/>
      <c r="L68" s="177"/>
      <c r="M68" s="177"/>
      <c r="N68" s="177"/>
      <c r="O68" s="177"/>
      <c r="P68" s="177"/>
      <c r="Q68" s="177"/>
      <c r="R68" s="177"/>
      <c r="S68" s="177"/>
      <c r="T68" s="177"/>
      <c r="U68" s="179"/>
      <c r="V68" s="177"/>
      <c r="W68" s="177"/>
      <c r="X68" s="177"/>
      <c r="Y68" s="177"/>
      <c r="Z68" s="177"/>
      <c r="AA68" s="177"/>
      <c r="AB68" s="179"/>
      <c r="AC68" s="177"/>
      <c r="AD68" s="177"/>
      <c r="AE68" s="177"/>
      <c r="AF68" s="177"/>
      <c r="AG68" s="177"/>
      <c r="AH68" s="177"/>
      <c r="AI68" s="177"/>
      <c r="AJ68" s="177"/>
      <c r="AK68" s="179"/>
      <c r="AL68" s="177"/>
      <c r="AM68" s="177"/>
      <c r="AN68" s="177"/>
      <c r="AO68" s="177"/>
      <c r="AP68" s="177"/>
      <c r="AQ68" s="177"/>
      <c r="AR68" s="177"/>
      <c r="AS68" s="178"/>
      <c r="AT68" s="177"/>
      <c r="AU68" s="177"/>
      <c r="AV68" s="177"/>
      <c r="AW68" s="177"/>
      <c r="AX68" s="177"/>
      <c r="AY68" s="177"/>
      <c r="AZ68" s="177"/>
      <c r="BA68" s="177"/>
      <c r="BB68" s="177"/>
      <c r="BC68" s="177"/>
      <c r="BD68" s="177"/>
      <c r="BE68" s="177"/>
      <c r="BF68" s="179"/>
      <c r="BG68" s="177"/>
      <c r="BH68" s="177"/>
      <c r="BI68" s="177"/>
      <c r="BJ68" s="177"/>
      <c r="BK68" s="177"/>
      <c r="BL68" s="177"/>
      <c r="BM68" s="177"/>
      <c r="BN68" s="177"/>
      <c r="BO68" s="177"/>
      <c r="BP68" s="177"/>
      <c r="BQ68" s="177"/>
      <c r="BR68" s="179"/>
      <c r="BS68" s="177"/>
      <c r="BT68" s="177"/>
      <c r="BU68" s="177"/>
      <c r="BV68" s="177"/>
      <c r="BW68" s="177"/>
      <c r="BX68" s="177"/>
      <c r="BY68" s="177"/>
      <c r="BZ68" s="177"/>
      <c r="CA68" s="177"/>
      <c r="CB68" s="179"/>
      <c r="CC68" s="177"/>
      <c r="CD68" s="177"/>
      <c r="CE68" s="177"/>
      <c r="CF68" s="177"/>
      <c r="CG68" s="177"/>
      <c r="CH68" s="177"/>
      <c r="CI68" s="177"/>
      <c r="CJ68" s="177"/>
      <c r="CK68" s="178"/>
      <c r="CL68" s="180"/>
    </row>
    <row r="69" spans="1:90">
      <c r="A69" s="93">
        <f>ROWS($A$3:A67)</f>
        <v>65</v>
      </c>
      <c r="B69" s="106" t="s">
        <v>88</v>
      </c>
      <c r="C69" s="242">
        <v>2007</v>
      </c>
      <c r="D69" s="314" t="s">
        <v>14</v>
      </c>
      <c r="E69" s="333"/>
      <c r="F69" s="156">
        <v>756</v>
      </c>
      <c r="G69" s="177">
        <v>221</v>
      </c>
      <c r="H69" s="177">
        <v>1049</v>
      </c>
      <c r="I69" s="178">
        <v>870</v>
      </c>
      <c r="J69" s="181"/>
      <c r="K69" s="156">
        <f>BF69</f>
        <v>91</v>
      </c>
      <c r="L69" s="177">
        <f>AY69</f>
        <v>119</v>
      </c>
      <c r="M69" s="177">
        <f>BD69</f>
        <v>104</v>
      </c>
      <c r="N69" s="177">
        <f>AW69</f>
        <v>40</v>
      </c>
      <c r="O69" s="177">
        <f>BE69</f>
        <v>40</v>
      </c>
      <c r="P69" s="177">
        <f>'2009'!AZ69+'2009'!BA69</f>
        <v>60</v>
      </c>
      <c r="Q69" s="177">
        <f>'2009'!AU69</f>
        <v>26</v>
      </c>
      <c r="R69" s="177">
        <f>AT69+AX69</f>
        <v>52</v>
      </c>
      <c r="S69" s="177">
        <f>AV69</f>
        <v>40</v>
      </c>
      <c r="T69" s="177">
        <f t="shared" ref="T69:U71" si="143">BB69</f>
        <v>64</v>
      </c>
      <c r="U69" s="179">
        <f t="shared" si="143"/>
        <v>120</v>
      </c>
      <c r="V69" s="177">
        <f>BG69+BJ69</f>
        <v>18</v>
      </c>
      <c r="W69" s="177">
        <f>BR69</f>
        <v>35</v>
      </c>
      <c r="X69" s="177">
        <f>BH69+BI69</f>
        <v>38</v>
      </c>
      <c r="Y69" s="177">
        <f>BK69+BL69+BN69</f>
        <v>35</v>
      </c>
      <c r="Z69" s="177">
        <f>BM69</f>
        <v>35</v>
      </c>
      <c r="AA69" s="177">
        <f>BO69+BQ69</f>
        <v>35</v>
      </c>
      <c r="AB69" s="179">
        <f>BP69</f>
        <v>25</v>
      </c>
      <c r="AC69" s="177">
        <f>BX69</f>
        <v>98</v>
      </c>
      <c r="AD69" s="177">
        <f>BU69</f>
        <v>77</v>
      </c>
      <c r="AE69" s="177">
        <f>BS69+BT69</f>
        <v>261</v>
      </c>
      <c r="AF69" s="177">
        <f>CA69</f>
        <v>101</v>
      </c>
      <c r="AG69" s="177">
        <f>BV69</f>
        <v>137</v>
      </c>
      <c r="AH69" s="177">
        <f>BZ69</f>
        <v>98</v>
      </c>
      <c r="AI69" s="177">
        <f>BW69</f>
        <v>46</v>
      </c>
      <c r="AJ69" s="177">
        <f>BY69</f>
        <v>40</v>
      </c>
      <c r="AK69" s="179">
        <f>CB69</f>
        <v>191</v>
      </c>
      <c r="AL69" s="177">
        <f>CE69</f>
        <v>55</v>
      </c>
      <c r="AM69" s="177">
        <f>CH69</f>
        <v>60</v>
      </c>
      <c r="AN69" s="177">
        <f>CJ69</f>
        <v>325</v>
      </c>
      <c r="AO69" s="177">
        <f t="shared" ref="AO69:AP71" si="144">CC69</f>
        <v>66</v>
      </c>
      <c r="AP69" s="177">
        <f t="shared" si="144"/>
        <v>40</v>
      </c>
      <c r="AQ69" s="177">
        <f>CK69</f>
        <v>77</v>
      </c>
      <c r="AR69" s="177">
        <f>CI69</f>
        <v>178</v>
      </c>
      <c r="AS69" s="178">
        <f>CF69+CG69</f>
        <v>69</v>
      </c>
      <c r="AT69" s="177">
        <v>7</v>
      </c>
      <c r="AU69" s="177">
        <v>26</v>
      </c>
      <c r="AV69" s="177">
        <v>40</v>
      </c>
      <c r="AW69" s="181">
        <v>40</v>
      </c>
      <c r="AX69" s="177">
        <v>45</v>
      </c>
      <c r="AY69" s="177">
        <v>119</v>
      </c>
      <c r="AZ69" s="177">
        <v>7</v>
      </c>
      <c r="BA69" s="177">
        <v>53</v>
      </c>
      <c r="BB69" s="177">
        <v>64</v>
      </c>
      <c r="BC69" s="177">
        <v>120</v>
      </c>
      <c r="BD69" s="177">
        <v>104</v>
      </c>
      <c r="BE69" s="177">
        <v>40</v>
      </c>
      <c r="BF69" s="179">
        <v>91</v>
      </c>
      <c r="BG69" s="177">
        <v>4</v>
      </c>
      <c r="BH69" s="177">
        <v>6</v>
      </c>
      <c r="BI69" s="177">
        <v>32</v>
      </c>
      <c r="BJ69" s="177">
        <v>14</v>
      </c>
      <c r="BK69" s="177">
        <v>3</v>
      </c>
      <c r="BL69" s="177">
        <v>0</v>
      </c>
      <c r="BM69" s="177">
        <v>35</v>
      </c>
      <c r="BN69" s="177">
        <v>32</v>
      </c>
      <c r="BO69" s="177">
        <v>2</v>
      </c>
      <c r="BP69" s="177">
        <v>25</v>
      </c>
      <c r="BQ69" s="177">
        <v>33</v>
      </c>
      <c r="BR69" s="179">
        <v>35</v>
      </c>
      <c r="BS69" s="177">
        <v>15</v>
      </c>
      <c r="BT69" s="177">
        <v>246</v>
      </c>
      <c r="BU69" s="177">
        <v>77</v>
      </c>
      <c r="BV69" s="177">
        <v>137</v>
      </c>
      <c r="BW69" s="177">
        <v>46</v>
      </c>
      <c r="BX69" s="177">
        <v>98</v>
      </c>
      <c r="BY69" s="177">
        <v>40</v>
      </c>
      <c r="BZ69" s="177">
        <v>98</v>
      </c>
      <c r="CA69" s="177">
        <v>101</v>
      </c>
      <c r="CB69" s="179">
        <v>191</v>
      </c>
      <c r="CC69" s="177">
        <v>66</v>
      </c>
      <c r="CD69" s="177">
        <v>40</v>
      </c>
      <c r="CE69" s="177">
        <v>55</v>
      </c>
      <c r="CF69" s="177">
        <v>1</v>
      </c>
      <c r="CG69" s="177">
        <v>68</v>
      </c>
      <c r="CH69" s="177">
        <v>60</v>
      </c>
      <c r="CI69" s="177">
        <v>178</v>
      </c>
      <c r="CJ69" s="177">
        <v>325</v>
      </c>
      <c r="CK69" s="178">
        <v>77</v>
      </c>
      <c r="CL69" s="180">
        <v>2896</v>
      </c>
    </row>
    <row r="70" spans="1:90">
      <c r="A70" s="93">
        <f>ROWS($A$3:A68)</f>
        <v>66</v>
      </c>
      <c r="B70" s="106" t="s">
        <v>74</v>
      </c>
      <c r="C70" s="243"/>
      <c r="D70" s="314" t="s">
        <v>1</v>
      </c>
      <c r="E70" s="333"/>
      <c r="F70" s="156">
        <v>24805</v>
      </c>
      <c r="G70" s="177">
        <v>8359</v>
      </c>
      <c r="H70" s="177">
        <v>31034</v>
      </c>
      <c r="I70" s="178">
        <v>30108</v>
      </c>
      <c r="J70" s="181"/>
      <c r="K70" s="156">
        <f>BF70</f>
        <v>2642</v>
      </c>
      <c r="L70" s="177">
        <f>AY70</f>
        <v>3591</v>
      </c>
      <c r="M70" s="177">
        <f>BD70</f>
        <v>3673</v>
      </c>
      <c r="N70" s="177">
        <f>AW70</f>
        <v>1503</v>
      </c>
      <c r="O70" s="177">
        <f>BE70</f>
        <v>2148</v>
      </c>
      <c r="P70" s="177">
        <f>'2009'!AZ70+'2009'!BA70</f>
        <v>1599</v>
      </c>
      <c r="Q70" s="177">
        <f>'2009'!AU70</f>
        <v>1022</v>
      </c>
      <c r="R70" s="177">
        <f>AT70+AX70</f>
        <v>1365</v>
      </c>
      <c r="S70" s="177">
        <f>AV70</f>
        <v>1181</v>
      </c>
      <c r="T70" s="177">
        <f t="shared" si="143"/>
        <v>2074</v>
      </c>
      <c r="U70" s="179">
        <f t="shared" si="143"/>
        <v>4007</v>
      </c>
      <c r="V70" s="177">
        <f>BG70+BJ70</f>
        <v>559</v>
      </c>
      <c r="W70" s="177">
        <f>BR70</f>
        <v>1270</v>
      </c>
      <c r="X70" s="177">
        <f>BH70+BI70</f>
        <v>1145</v>
      </c>
      <c r="Y70" s="177">
        <f>BL70+BN70</f>
        <v>1278</v>
      </c>
      <c r="Z70" s="177">
        <f>BM70</f>
        <v>1872</v>
      </c>
      <c r="AA70" s="177">
        <f>BQ70</f>
        <v>1486</v>
      </c>
      <c r="AB70" s="179">
        <f>BP70</f>
        <v>749</v>
      </c>
      <c r="AC70" s="177">
        <f>BX70</f>
        <v>3007</v>
      </c>
      <c r="AD70" s="177">
        <f>BU70</f>
        <v>1334</v>
      </c>
      <c r="AE70" s="177">
        <f>BS70+BT70</f>
        <v>5979</v>
      </c>
      <c r="AF70" s="177">
        <f>CA70</f>
        <v>2677</v>
      </c>
      <c r="AG70" s="177">
        <f>BV70</f>
        <v>2883</v>
      </c>
      <c r="AH70" s="177">
        <f>BZ70</f>
        <v>4133</v>
      </c>
      <c r="AI70" s="177">
        <f>BW70</f>
        <v>1627</v>
      </c>
      <c r="AJ70" s="177">
        <f>BY70</f>
        <v>2784</v>
      </c>
      <c r="AK70" s="179">
        <f>CB70</f>
        <v>6610</v>
      </c>
      <c r="AL70" s="177">
        <f>CE70</f>
        <v>3211</v>
      </c>
      <c r="AM70" s="177">
        <f>CH70</f>
        <v>2501</v>
      </c>
      <c r="AN70" s="177">
        <f>CJ70</f>
        <v>9892</v>
      </c>
      <c r="AO70" s="177">
        <f t="shared" si="144"/>
        <v>2429</v>
      </c>
      <c r="AP70" s="177">
        <f t="shared" si="144"/>
        <v>2971</v>
      </c>
      <c r="AQ70" s="177">
        <f>CK70</f>
        <v>3153</v>
      </c>
      <c r="AR70" s="177">
        <f>CI70</f>
        <v>3609</v>
      </c>
      <c r="AS70" s="178">
        <f>CG70</f>
        <v>2342</v>
      </c>
      <c r="AT70" s="177">
        <v>266</v>
      </c>
      <c r="AU70" s="181">
        <v>1022</v>
      </c>
      <c r="AV70" s="181">
        <v>1181</v>
      </c>
      <c r="AW70" s="181">
        <v>1503</v>
      </c>
      <c r="AX70" s="181">
        <v>1099</v>
      </c>
      <c r="AY70" s="177">
        <v>3591</v>
      </c>
      <c r="AZ70" s="177">
        <v>87</v>
      </c>
      <c r="BA70" s="177">
        <v>1512</v>
      </c>
      <c r="BB70" s="177">
        <v>2074</v>
      </c>
      <c r="BC70" s="177">
        <v>4007</v>
      </c>
      <c r="BD70" s="177">
        <v>3673</v>
      </c>
      <c r="BE70" s="177">
        <v>2148</v>
      </c>
      <c r="BF70" s="179">
        <v>2642</v>
      </c>
      <c r="BG70" s="177">
        <v>217</v>
      </c>
      <c r="BH70" s="177">
        <v>147</v>
      </c>
      <c r="BI70" s="177">
        <v>998</v>
      </c>
      <c r="BJ70" s="177">
        <v>342</v>
      </c>
      <c r="BK70" s="177" t="s">
        <v>252</v>
      </c>
      <c r="BL70" s="177">
        <v>0</v>
      </c>
      <c r="BM70" s="177">
        <v>1872</v>
      </c>
      <c r="BN70" s="177">
        <v>1278</v>
      </c>
      <c r="BO70" s="177" t="s">
        <v>252</v>
      </c>
      <c r="BP70" s="177">
        <v>749</v>
      </c>
      <c r="BQ70" s="177">
        <v>1486</v>
      </c>
      <c r="BR70" s="179">
        <v>1270</v>
      </c>
      <c r="BS70" s="177">
        <v>215</v>
      </c>
      <c r="BT70" s="177">
        <v>5764</v>
      </c>
      <c r="BU70" s="177">
        <v>1334</v>
      </c>
      <c r="BV70" s="177">
        <v>2883</v>
      </c>
      <c r="BW70" s="177">
        <v>1627</v>
      </c>
      <c r="BX70" s="177">
        <v>3007</v>
      </c>
      <c r="BY70" s="177">
        <v>2784</v>
      </c>
      <c r="BZ70" s="177">
        <v>4133</v>
      </c>
      <c r="CA70" s="177">
        <v>2677</v>
      </c>
      <c r="CB70" s="179">
        <v>6610</v>
      </c>
      <c r="CC70" s="177">
        <v>2429</v>
      </c>
      <c r="CD70" s="177">
        <v>2971</v>
      </c>
      <c r="CE70" s="177">
        <v>3211</v>
      </c>
      <c r="CF70" s="177" t="s">
        <v>252</v>
      </c>
      <c r="CG70" s="177">
        <v>2342</v>
      </c>
      <c r="CH70" s="177">
        <v>2501</v>
      </c>
      <c r="CI70" s="177">
        <v>3609</v>
      </c>
      <c r="CJ70" s="177">
        <v>9892</v>
      </c>
      <c r="CK70" s="178">
        <v>3153</v>
      </c>
      <c r="CL70" s="180">
        <v>94593</v>
      </c>
    </row>
    <row r="71" spans="1:90">
      <c r="A71" s="93">
        <f>ROWS($A$3:A69)</f>
        <v>67</v>
      </c>
      <c r="B71" s="62" t="s">
        <v>71</v>
      </c>
      <c r="C71" s="312"/>
      <c r="D71" s="314" t="s">
        <v>1</v>
      </c>
      <c r="E71" s="333"/>
      <c r="F71" s="207">
        <f>IF(OR(F69&lt;0.1,F70&lt;0.1),0,F70/F69)</f>
        <v>32.810846560846564</v>
      </c>
      <c r="G71" s="208">
        <f>IF(OR(G69&lt;0.1,G70&lt;0.1),0,G70/G69)</f>
        <v>37.823529411764703</v>
      </c>
      <c r="H71" s="208">
        <f>IF(OR(H69&lt;0.1,H70&lt;0.1),0,H70/H69)</f>
        <v>29.584366062917063</v>
      </c>
      <c r="I71" s="209">
        <f>IF(OR(I69&lt;0.1,I70&lt;0.1),0,I70/I69)</f>
        <v>34.606896551724141</v>
      </c>
      <c r="J71" s="213"/>
      <c r="K71" s="218">
        <f>BF71</f>
        <v>29.032967032967033</v>
      </c>
      <c r="L71" s="219">
        <f>AY71</f>
        <v>30.176470588235293</v>
      </c>
      <c r="M71" s="219">
        <f>BD71</f>
        <v>35.317307692307693</v>
      </c>
      <c r="N71" s="219">
        <f>AW71</f>
        <v>37.575000000000003</v>
      </c>
      <c r="O71" s="219">
        <f>BE71</f>
        <v>53.7</v>
      </c>
      <c r="P71" s="208">
        <f>IF(OR(P69&lt;0.1,P70&lt;0.1),0,P70/P69)</f>
        <v>26.65</v>
      </c>
      <c r="Q71" s="219">
        <f>'2009'!AU71</f>
        <v>39.307692307692307</v>
      </c>
      <c r="R71" s="208">
        <f>IF(OR(R69&lt;0.1,R70&lt;0.1),0,R70/R69)</f>
        <v>26.25</v>
      </c>
      <c r="S71" s="219">
        <f>AV71</f>
        <v>29.524999999999999</v>
      </c>
      <c r="T71" s="219">
        <f t="shared" si="143"/>
        <v>32.40625</v>
      </c>
      <c r="U71" s="220">
        <f t="shared" si="143"/>
        <v>33.391666666666666</v>
      </c>
      <c r="V71" s="208">
        <f>IF(OR(V69&lt;0.1,V70&lt;0.1),0,V70/V69)</f>
        <v>31.055555555555557</v>
      </c>
      <c r="W71" s="219">
        <f>BR71</f>
        <v>36.285714285714285</v>
      </c>
      <c r="X71" s="208">
        <f>IF(OR(X69&lt;0.1,X70&lt;0.1),0,X70/X69)</f>
        <v>30.131578947368421</v>
      </c>
      <c r="Y71" s="208">
        <f>IF(OR(Y69&lt;0.1,Y70&lt;0.1),0,Y70/Y69)</f>
        <v>36.514285714285712</v>
      </c>
      <c r="Z71" s="219">
        <f>BM71</f>
        <v>53.485714285714288</v>
      </c>
      <c r="AA71" s="208">
        <f>IF(OR(AA69&lt;0.1,AA70&lt;0.1),0,AA70/AA69)</f>
        <v>42.457142857142856</v>
      </c>
      <c r="AB71" s="220">
        <f>BP71</f>
        <v>29.96</v>
      </c>
      <c r="AC71" s="219">
        <f>BX71</f>
        <v>30.683673469387756</v>
      </c>
      <c r="AD71" s="219">
        <f>BU71</f>
        <v>17.324675324675326</v>
      </c>
      <c r="AE71" s="208">
        <f>IF(OR(AE69&lt;0.1,AE70&lt;0.1),0,AE70/AE69)</f>
        <v>22.908045977011493</v>
      </c>
      <c r="AF71" s="219">
        <f>CA71</f>
        <v>26.504950495049506</v>
      </c>
      <c r="AG71" s="219">
        <f>BV71</f>
        <v>21.043795620437955</v>
      </c>
      <c r="AH71" s="219">
        <f>BZ71</f>
        <v>42.173469387755105</v>
      </c>
      <c r="AI71" s="219">
        <f>BW71</f>
        <v>35.369565217391305</v>
      </c>
      <c r="AJ71" s="219">
        <f>BY71</f>
        <v>69.599999999999994</v>
      </c>
      <c r="AK71" s="220">
        <f>CB71</f>
        <v>34.607329842931939</v>
      </c>
      <c r="AL71" s="219">
        <f>CE71</f>
        <v>58.381818181818183</v>
      </c>
      <c r="AM71" s="219">
        <f>CH71</f>
        <v>41.68333333333333</v>
      </c>
      <c r="AN71" s="219">
        <f>CJ71</f>
        <v>30.436923076923076</v>
      </c>
      <c r="AO71" s="219">
        <f t="shared" si="144"/>
        <v>36.803030303030305</v>
      </c>
      <c r="AP71" s="219">
        <f t="shared" si="144"/>
        <v>74.275000000000006</v>
      </c>
      <c r="AQ71" s="219">
        <f>CK71</f>
        <v>40.948051948051948</v>
      </c>
      <c r="AR71" s="219">
        <f>CI71</f>
        <v>20.275280898876403</v>
      </c>
      <c r="AS71" s="209">
        <f t="shared" ref="AS71:CL71" si="145">IF(OR(AS69&lt;0.1,AS70&lt;0.1),0,AS70/AS69)</f>
        <v>33.94202898550725</v>
      </c>
      <c r="AT71" s="208">
        <f t="shared" si="145"/>
        <v>38</v>
      </c>
      <c r="AU71" s="208">
        <f t="shared" si="145"/>
        <v>39.307692307692307</v>
      </c>
      <c r="AV71" s="208">
        <f t="shared" si="145"/>
        <v>29.524999999999999</v>
      </c>
      <c r="AW71" s="208">
        <f t="shared" si="145"/>
        <v>37.575000000000003</v>
      </c>
      <c r="AX71" s="208">
        <f t="shared" si="145"/>
        <v>24.422222222222221</v>
      </c>
      <c r="AY71" s="208">
        <f t="shared" si="145"/>
        <v>30.176470588235293</v>
      </c>
      <c r="AZ71" s="208">
        <f t="shared" si="145"/>
        <v>12.428571428571429</v>
      </c>
      <c r="BA71" s="208">
        <f t="shared" si="145"/>
        <v>28.528301886792452</v>
      </c>
      <c r="BB71" s="208">
        <f t="shared" si="145"/>
        <v>32.40625</v>
      </c>
      <c r="BC71" s="208">
        <f t="shared" si="145"/>
        <v>33.391666666666666</v>
      </c>
      <c r="BD71" s="208">
        <f t="shared" si="145"/>
        <v>35.317307692307693</v>
      </c>
      <c r="BE71" s="208">
        <f t="shared" si="145"/>
        <v>53.7</v>
      </c>
      <c r="BF71" s="216">
        <f t="shared" si="145"/>
        <v>29.032967032967033</v>
      </c>
      <c r="BG71" s="208">
        <f t="shared" si="145"/>
        <v>54.25</v>
      </c>
      <c r="BH71" s="208">
        <f t="shared" si="145"/>
        <v>24.5</v>
      </c>
      <c r="BI71" s="208">
        <f t="shared" si="145"/>
        <v>31.1875</v>
      </c>
      <c r="BJ71" s="208">
        <f t="shared" si="145"/>
        <v>24.428571428571427</v>
      </c>
      <c r="BK71" s="208">
        <v>0</v>
      </c>
      <c r="BL71" s="208">
        <f>IF(OR(BL69&lt;0.1,BL70&lt;0.1),0,BL70/BL69)</f>
        <v>0</v>
      </c>
      <c r="BM71" s="208">
        <f t="shared" si="145"/>
        <v>53.485714285714288</v>
      </c>
      <c r="BN71" s="208">
        <f t="shared" si="145"/>
        <v>39.9375</v>
      </c>
      <c r="BO71" s="208">
        <v>0</v>
      </c>
      <c r="BP71" s="208">
        <f t="shared" si="145"/>
        <v>29.96</v>
      </c>
      <c r="BQ71" s="208">
        <f t="shared" si="145"/>
        <v>45.030303030303031</v>
      </c>
      <c r="BR71" s="216">
        <f t="shared" si="145"/>
        <v>36.285714285714285</v>
      </c>
      <c r="BS71" s="208">
        <f t="shared" si="145"/>
        <v>14.333333333333334</v>
      </c>
      <c r="BT71" s="208">
        <f t="shared" si="145"/>
        <v>23.430894308943088</v>
      </c>
      <c r="BU71" s="208">
        <f t="shared" si="145"/>
        <v>17.324675324675326</v>
      </c>
      <c r="BV71" s="208">
        <f t="shared" si="145"/>
        <v>21.043795620437955</v>
      </c>
      <c r="BW71" s="208">
        <f t="shared" si="145"/>
        <v>35.369565217391305</v>
      </c>
      <c r="BX71" s="208">
        <f t="shared" si="145"/>
        <v>30.683673469387756</v>
      </c>
      <c r="BY71" s="208">
        <f t="shared" si="145"/>
        <v>69.599999999999994</v>
      </c>
      <c r="BZ71" s="208">
        <f t="shared" si="145"/>
        <v>42.173469387755105</v>
      </c>
      <c r="CA71" s="208">
        <f t="shared" si="145"/>
        <v>26.504950495049506</v>
      </c>
      <c r="CB71" s="216">
        <f t="shared" si="145"/>
        <v>34.607329842931939</v>
      </c>
      <c r="CC71" s="208">
        <f t="shared" si="145"/>
        <v>36.803030303030305</v>
      </c>
      <c r="CD71" s="208">
        <f t="shared" si="145"/>
        <v>74.275000000000006</v>
      </c>
      <c r="CE71" s="208">
        <f t="shared" si="145"/>
        <v>58.381818181818183</v>
      </c>
      <c r="CF71" s="208">
        <v>0</v>
      </c>
      <c r="CG71" s="208">
        <f t="shared" si="145"/>
        <v>34.441176470588232</v>
      </c>
      <c r="CH71" s="208">
        <f t="shared" si="145"/>
        <v>41.68333333333333</v>
      </c>
      <c r="CI71" s="208">
        <f t="shared" si="145"/>
        <v>20.275280898876403</v>
      </c>
      <c r="CJ71" s="208">
        <f t="shared" si="145"/>
        <v>30.436923076923076</v>
      </c>
      <c r="CK71" s="209">
        <f t="shared" si="145"/>
        <v>40.948051948051948</v>
      </c>
      <c r="CL71" s="217">
        <f t="shared" si="145"/>
        <v>32.663328729281766</v>
      </c>
    </row>
    <row r="72" spans="1:90">
      <c r="A72" s="93">
        <f>ROWS($A$3:A70)</f>
        <v>68</v>
      </c>
      <c r="B72" s="67" t="s">
        <v>89</v>
      </c>
      <c r="C72" s="243"/>
      <c r="D72" s="314"/>
      <c r="E72" s="333"/>
      <c r="F72" s="156"/>
      <c r="G72" s="177"/>
      <c r="H72" s="177"/>
      <c r="I72" s="178"/>
      <c r="J72" s="181"/>
      <c r="K72" s="156"/>
      <c r="L72" s="177"/>
      <c r="M72" s="177"/>
      <c r="N72" s="177"/>
      <c r="O72" s="177"/>
      <c r="P72" s="177"/>
      <c r="Q72" s="177"/>
      <c r="R72" s="177"/>
      <c r="S72" s="177"/>
      <c r="T72" s="177"/>
      <c r="U72" s="179"/>
      <c r="V72" s="177"/>
      <c r="W72" s="177"/>
      <c r="X72" s="177"/>
      <c r="Y72" s="177"/>
      <c r="Z72" s="177"/>
      <c r="AA72" s="177"/>
      <c r="AB72" s="179"/>
      <c r="AC72" s="177"/>
      <c r="AD72" s="177"/>
      <c r="AE72" s="177"/>
      <c r="AF72" s="177"/>
      <c r="AG72" s="177"/>
      <c r="AH72" s="177"/>
      <c r="AI72" s="177"/>
      <c r="AJ72" s="177"/>
      <c r="AK72" s="179"/>
      <c r="AL72" s="177"/>
      <c r="AM72" s="177"/>
      <c r="AN72" s="177"/>
      <c r="AO72" s="177"/>
      <c r="AP72" s="177"/>
      <c r="AQ72" s="177"/>
      <c r="AR72" s="177"/>
      <c r="AS72" s="178"/>
      <c r="AT72" s="177"/>
      <c r="AU72" s="177"/>
      <c r="AV72" s="177"/>
      <c r="AW72" s="177"/>
      <c r="AX72" s="177"/>
      <c r="AY72" s="177"/>
      <c r="AZ72" s="177"/>
      <c r="BA72" s="177"/>
      <c r="BB72" s="177"/>
      <c r="BC72" s="177"/>
      <c r="BD72" s="177"/>
      <c r="BE72" s="177"/>
      <c r="BF72" s="179"/>
      <c r="BG72" s="177"/>
      <c r="BH72" s="177"/>
      <c r="BI72" s="177"/>
      <c r="BJ72" s="177"/>
      <c r="BK72" s="177"/>
      <c r="BL72" s="177"/>
      <c r="BM72" s="177"/>
      <c r="BN72" s="177"/>
      <c r="BO72" s="177"/>
      <c r="BP72" s="177"/>
      <c r="BQ72" s="177"/>
      <c r="BR72" s="179"/>
      <c r="BS72" s="177"/>
      <c r="BT72" s="177"/>
      <c r="BU72" s="177"/>
      <c r="BV72" s="177"/>
      <c r="BW72" s="177"/>
      <c r="BX72" s="177"/>
      <c r="BY72" s="177"/>
      <c r="BZ72" s="177"/>
      <c r="CA72" s="177"/>
      <c r="CB72" s="179"/>
      <c r="CC72" s="177"/>
      <c r="CD72" s="177"/>
      <c r="CE72" s="177"/>
      <c r="CF72" s="177"/>
      <c r="CG72" s="177"/>
      <c r="CH72" s="177"/>
      <c r="CI72" s="177"/>
      <c r="CJ72" s="177"/>
      <c r="CK72" s="178"/>
      <c r="CL72" s="180"/>
    </row>
    <row r="73" spans="1:90">
      <c r="A73" s="93">
        <f>ROWS($A$3:A71)</f>
        <v>69</v>
      </c>
      <c r="B73" s="106" t="s">
        <v>90</v>
      </c>
      <c r="C73" s="242">
        <v>2007</v>
      </c>
      <c r="D73" s="314" t="s">
        <v>14</v>
      </c>
      <c r="E73" s="333"/>
      <c r="F73" s="156">
        <v>3236</v>
      </c>
      <c r="G73" s="177">
        <v>1923</v>
      </c>
      <c r="H73" s="177">
        <v>1605</v>
      </c>
      <c r="I73" s="178">
        <v>2415</v>
      </c>
      <c r="J73" s="181"/>
      <c r="K73" s="156">
        <f t="shared" ref="K73:K78" si="146">BF73</f>
        <v>258</v>
      </c>
      <c r="L73" s="177">
        <f t="shared" ref="L73:L78" si="147">AY73</f>
        <v>124</v>
      </c>
      <c r="M73" s="177">
        <f t="shared" ref="M73:M78" si="148">BD73</f>
        <v>783</v>
      </c>
      <c r="N73" s="177">
        <f t="shared" ref="N73:N78" si="149">AW73</f>
        <v>78</v>
      </c>
      <c r="O73" s="177">
        <f t="shared" ref="O73:O78" si="150">BE73</f>
        <v>164</v>
      </c>
      <c r="P73" s="177">
        <f>'2009'!AZ73+'2009'!BA73</f>
        <v>528</v>
      </c>
      <c r="Q73" s="177">
        <f>'2009'!AU73</f>
        <v>343</v>
      </c>
      <c r="R73" s="177">
        <f t="shared" ref="R73:R78" si="151">AT73+AX73</f>
        <v>373</v>
      </c>
      <c r="S73" s="177">
        <f t="shared" ref="S73:S78" si="152">AV73</f>
        <v>189</v>
      </c>
      <c r="T73" s="177">
        <f t="shared" ref="T73:U78" si="153">BB73</f>
        <v>211</v>
      </c>
      <c r="U73" s="179">
        <f t="shared" si="153"/>
        <v>185</v>
      </c>
      <c r="V73" s="177">
        <f t="shared" ref="V73:V78" si="154">BG73+BJ73</f>
        <v>146</v>
      </c>
      <c r="W73" s="177">
        <f t="shared" ref="W73:W78" si="155">BR73</f>
        <v>159</v>
      </c>
      <c r="X73" s="177">
        <f t="shared" ref="X73:X78" si="156">BH73+BI73</f>
        <v>423</v>
      </c>
      <c r="Y73" s="177">
        <f t="shared" ref="Y73:Y78" si="157">BK73+BL73+BN73</f>
        <v>513</v>
      </c>
      <c r="Z73" s="177">
        <f t="shared" ref="Z73:Z78" si="158">BM73</f>
        <v>398</v>
      </c>
      <c r="AA73" s="177">
        <f t="shared" ref="AA73:AA78" si="159">BO73+BQ73</f>
        <v>148</v>
      </c>
      <c r="AB73" s="179">
        <f t="shared" ref="AB73:AB78" si="160">BP73</f>
        <v>136</v>
      </c>
      <c r="AC73" s="177">
        <f t="shared" ref="AC73:AC78" si="161">BX73</f>
        <v>124</v>
      </c>
      <c r="AD73" s="177">
        <f t="shared" ref="AD73:AD78" si="162">BU73</f>
        <v>143</v>
      </c>
      <c r="AE73" s="177">
        <f t="shared" ref="AE73:AE78" si="163">BS73+BT73</f>
        <v>261</v>
      </c>
      <c r="AF73" s="177">
        <f t="shared" ref="AF73:AF78" si="164">CA73</f>
        <v>54</v>
      </c>
      <c r="AG73" s="177">
        <f t="shared" ref="AG73:AG78" si="165">BV73</f>
        <v>438</v>
      </c>
      <c r="AH73" s="177">
        <f t="shared" ref="AH73:AH78" si="166">BZ73</f>
        <v>209</v>
      </c>
      <c r="AI73" s="177">
        <f t="shared" ref="AI73:AI78" si="167">BW73</f>
        <v>192</v>
      </c>
      <c r="AJ73" s="177">
        <f t="shared" ref="AJ73:AJ78" si="168">BY73</f>
        <v>58</v>
      </c>
      <c r="AK73" s="179">
        <f t="shared" ref="AK73:AK78" si="169">CB73</f>
        <v>126</v>
      </c>
      <c r="AL73" s="177">
        <f t="shared" ref="AL73:AL78" si="170">CE73</f>
        <v>213</v>
      </c>
      <c r="AM73" s="177">
        <f t="shared" ref="AM73:AM78" si="171">CH73</f>
        <v>407</v>
      </c>
      <c r="AN73" s="177">
        <f t="shared" ref="AN73:AN78" si="172">CJ73</f>
        <v>132</v>
      </c>
      <c r="AO73" s="177">
        <f t="shared" ref="AO73:AP78" si="173">CC73</f>
        <v>318</v>
      </c>
      <c r="AP73" s="177">
        <f t="shared" si="173"/>
        <v>233</v>
      </c>
      <c r="AQ73" s="177">
        <f t="shared" ref="AQ73:AQ78" si="174">CK73</f>
        <v>351</v>
      </c>
      <c r="AR73" s="177">
        <f t="shared" ref="AR73:AR78" si="175">CI73</f>
        <v>154</v>
      </c>
      <c r="AS73" s="178">
        <f t="shared" ref="AS73:AS78" si="176">CF73+CG73</f>
        <v>607</v>
      </c>
      <c r="AT73" s="177">
        <v>29</v>
      </c>
      <c r="AU73" s="177">
        <v>343</v>
      </c>
      <c r="AV73" s="177">
        <v>189</v>
      </c>
      <c r="AW73" s="181">
        <v>78</v>
      </c>
      <c r="AX73" s="177">
        <v>344</v>
      </c>
      <c r="AY73" s="177">
        <v>124</v>
      </c>
      <c r="AZ73" s="177">
        <v>63</v>
      </c>
      <c r="BA73" s="177">
        <v>465</v>
      </c>
      <c r="BB73" s="177">
        <v>211</v>
      </c>
      <c r="BC73" s="177">
        <v>185</v>
      </c>
      <c r="BD73" s="177">
        <v>783</v>
      </c>
      <c r="BE73" s="177">
        <v>164</v>
      </c>
      <c r="BF73" s="179">
        <v>258</v>
      </c>
      <c r="BG73" s="177">
        <v>5</v>
      </c>
      <c r="BH73" s="177">
        <v>30</v>
      </c>
      <c r="BI73" s="177">
        <v>393</v>
      </c>
      <c r="BJ73" s="177">
        <v>141</v>
      </c>
      <c r="BK73" s="177">
        <v>31</v>
      </c>
      <c r="BL73" s="177">
        <v>48</v>
      </c>
      <c r="BM73" s="177">
        <v>398</v>
      </c>
      <c r="BN73" s="177">
        <v>434</v>
      </c>
      <c r="BO73" s="177">
        <v>4</v>
      </c>
      <c r="BP73" s="177">
        <v>136</v>
      </c>
      <c r="BQ73" s="177">
        <v>144</v>
      </c>
      <c r="BR73" s="179">
        <v>159</v>
      </c>
      <c r="BS73" s="177">
        <v>16</v>
      </c>
      <c r="BT73" s="177">
        <v>245</v>
      </c>
      <c r="BU73" s="177">
        <v>143</v>
      </c>
      <c r="BV73" s="177">
        <v>438</v>
      </c>
      <c r="BW73" s="177">
        <v>192</v>
      </c>
      <c r="BX73" s="177">
        <v>124</v>
      </c>
      <c r="BY73" s="177">
        <v>58</v>
      </c>
      <c r="BZ73" s="177">
        <v>209</v>
      </c>
      <c r="CA73" s="177">
        <v>54</v>
      </c>
      <c r="CB73" s="179">
        <v>126</v>
      </c>
      <c r="CC73" s="177">
        <v>318</v>
      </c>
      <c r="CD73" s="177">
        <v>233</v>
      </c>
      <c r="CE73" s="177">
        <v>213</v>
      </c>
      <c r="CF73" s="177">
        <v>44</v>
      </c>
      <c r="CG73" s="177">
        <v>563</v>
      </c>
      <c r="CH73" s="177">
        <v>407</v>
      </c>
      <c r="CI73" s="177">
        <v>154</v>
      </c>
      <c r="CJ73" s="177">
        <v>132</v>
      </c>
      <c r="CK73" s="178">
        <v>351</v>
      </c>
      <c r="CL73" s="180">
        <v>9179</v>
      </c>
    </row>
    <row r="74" spans="1:90">
      <c r="A74" s="93">
        <f>ROWS($A$3:A72)</f>
        <v>70</v>
      </c>
      <c r="B74" s="106" t="s">
        <v>91</v>
      </c>
      <c r="C74" s="243"/>
      <c r="D74" s="314" t="s">
        <v>14</v>
      </c>
      <c r="E74" s="333"/>
      <c r="F74" s="156">
        <v>598</v>
      </c>
      <c r="G74" s="177">
        <v>342</v>
      </c>
      <c r="H74" s="177">
        <v>417</v>
      </c>
      <c r="I74" s="178">
        <v>243</v>
      </c>
      <c r="J74" s="181"/>
      <c r="K74" s="156">
        <f t="shared" si="146"/>
        <v>55</v>
      </c>
      <c r="L74" s="177">
        <f t="shared" si="147"/>
        <v>96</v>
      </c>
      <c r="M74" s="177">
        <f t="shared" si="148"/>
        <v>15</v>
      </c>
      <c r="N74" s="177">
        <f t="shared" si="149"/>
        <v>39</v>
      </c>
      <c r="O74" s="177">
        <f t="shared" si="150"/>
        <v>14</v>
      </c>
      <c r="P74" s="177">
        <f>'2009'!AZ74+'2009'!BA74</f>
        <v>64</v>
      </c>
      <c r="Q74" s="177">
        <f>'2009'!AU74</f>
        <v>30</v>
      </c>
      <c r="R74" s="177">
        <f t="shared" si="151"/>
        <v>172</v>
      </c>
      <c r="S74" s="177">
        <f t="shared" si="152"/>
        <v>71</v>
      </c>
      <c r="T74" s="177">
        <f t="shared" si="153"/>
        <v>18</v>
      </c>
      <c r="U74" s="179">
        <f t="shared" si="153"/>
        <v>24</v>
      </c>
      <c r="V74" s="177">
        <f t="shared" si="154"/>
        <v>39</v>
      </c>
      <c r="W74" s="177">
        <f t="shared" si="155"/>
        <v>18</v>
      </c>
      <c r="X74" s="177">
        <f t="shared" si="156"/>
        <v>78</v>
      </c>
      <c r="Y74" s="177">
        <f t="shared" si="157"/>
        <v>107</v>
      </c>
      <c r="Z74" s="177">
        <f t="shared" si="158"/>
        <v>24</v>
      </c>
      <c r="AA74" s="177">
        <f t="shared" si="159"/>
        <v>42</v>
      </c>
      <c r="AB74" s="179">
        <f t="shared" si="160"/>
        <v>34</v>
      </c>
      <c r="AC74" s="177">
        <f t="shared" si="161"/>
        <v>18</v>
      </c>
      <c r="AD74" s="177">
        <f t="shared" si="162"/>
        <v>39</v>
      </c>
      <c r="AE74" s="177">
        <f t="shared" si="163"/>
        <v>73</v>
      </c>
      <c r="AF74" s="177">
        <f t="shared" si="164"/>
        <v>35</v>
      </c>
      <c r="AG74" s="177">
        <f t="shared" si="165"/>
        <v>78</v>
      </c>
      <c r="AH74" s="177">
        <f t="shared" si="166"/>
        <v>133</v>
      </c>
      <c r="AI74" s="177">
        <f t="shared" si="167"/>
        <v>14</v>
      </c>
      <c r="AJ74" s="177">
        <f t="shared" si="168"/>
        <v>6</v>
      </c>
      <c r="AK74" s="179">
        <f t="shared" si="169"/>
        <v>21</v>
      </c>
      <c r="AL74" s="177">
        <f t="shared" si="170"/>
        <v>24</v>
      </c>
      <c r="AM74" s="177">
        <f t="shared" si="171"/>
        <v>35</v>
      </c>
      <c r="AN74" s="177">
        <f t="shared" si="172"/>
        <v>32</v>
      </c>
      <c r="AO74" s="177">
        <f t="shared" si="173"/>
        <v>38</v>
      </c>
      <c r="AP74" s="177">
        <f t="shared" si="173"/>
        <v>26</v>
      </c>
      <c r="AQ74" s="177">
        <f t="shared" si="174"/>
        <v>20</v>
      </c>
      <c r="AR74" s="177">
        <f t="shared" si="175"/>
        <v>32</v>
      </c>
      <c r="AS74" s="178">
        <f t="shared" si="176"/>
        <v>36</v>
      </c>
      <c r="AT74" s="181">
        <v>63</v>
      </c>
      <c r="AU74" s="181">
        <v>30</v>
      </c>
      <c r="AV74" s="181">
        <v>71</v>
      </c>
      <c r="AW74" s="181">
        <v>39</v>
      </c>
      <c r="AX74" s="181">
        <v>109</v>
      </c>
      <c r="AY74" s="177">
        <v>96</v>
      </c>
      <c r="AZ74" s="177">
        <v>14</v>
      </c>
      <c r="BA74" s="177">
        <v>50</v>
      </c>
      <c r="BB74" s="177">
        <v>18</v>
      </c>
      <c r="BC74" s="177">
        <v>24</v>
      </c>
      <c r="BD74" s="177">
        <v>15</v>
      </c>
      <c r="BE74" s="177">
        <v>14</v>
      </c>
      <c r="BF74" s="179">
        <v>55</v>
      </c>
      <c r="BG74" s="177">
        <v>12</v>
      </c>
      <c r="BH74" s="177">
        <v>22</v>
      </c>
      <c r="BI74" s="177">
        <v>56</v>
      </c>
      <c r="BJ74" s="177">
        <v>27</v>
      </c>
      <c r="BK74" s="177">
        <v>33</v>
      </c>
      <c r="BL74" s="177">
        <v>18</v>
      </c>
      <c r="BM74" s="177">
        <v>24</v>
      </c>
      <c r="BN74" s="177">
        <v>56</v>
      </c>
      <c r="BO74" s="177">
        <v>13</v>
      </c>
      <c r="BP74" s="177">
        <v>34</v>
      </c>
      <c r="BQ74" s="177">
        <v>29</v>
      </c>
      <c r="BR74" s="179">
        <v>18</v>
      </c>
      <c r="BS74" s="177">
        <v>14</v>
      </c>
      <c r="BT74" s="177">
        <v>59</v>
      </c>
      <c r="BU74" s="177">
        <v>39</v>
      </c>
      <c r="BV74" s="177">
        <v>78</v>
      </c>
      <c r="BW74" s="177">
        <v>14</v>
      </c>
      <c r="BX74" s="177">
        <v>18</v>
      </c>
      <c r="BY74" s="177">
        <v>6</v>
      </c>
      <c r="BZ74" s="177">
        <v>133</v>
      </c>
      <c r="CA74" s="177">
        <v>35</v>
      </c>
      <c r="CB74" s="179">
        <v>21</v>
      </c>
      <c r="CC74" s="177">
        <v>38</v>
      </c>
      <c r="CD74" s="177">
        <v>26</v>
      </c>
      <c r="CE74" s="177">
        <v>24</v>
      </c>
      <c r="CF74" s="177">
        <v>15</v>
      </c>
      <c r="CG74" s="177">
        <v>21</v>
      </c>
      <c r="CH74" s="177">
        <v>35</v>
      </c>
      <c r="CI74" s="177">
        <v>32</v>
      </c>
      <c r="CJ74" s="177">
        <v>32</v>
      </c>
      <c r="CK74" s="178">
        <v>20</v>
      </c>
      <c r="CL74" s="180">
        <v>1600</v>
      </c>
    </row>
    <row r="75" spans="1:90">
      <c r="A75" s="93">
        <f>ROWS($A$3:A73)</f>
        <v>71</v>
      </c>
      <c r="B75" s="106" t="s">
        <v>92</v>
      </c>
      <c r="C75" s="243"/>
      <c r="D75" s="314" t="s">
        <v>14</v>
      </c>
      <c r="E75" s="333"/>
      <c r="F75" s="156">
        <v>4333</v>
      </c>
      <c r="G75" s="177">
        <v>1187</v>
      </c>
      <c r="H75" s="177">
        <v>6063</v>
      </c>
      <c r="I75" s="178">
        <v>1239</v>
      </c>
      <c r="J75" s="181"/>
      <c r="K75" s="156">
        <f t="shared" si="146"/>
        <v>10</v>
      </c>
      <c r="L75" s="177">
        <f t="shared" si="147"/>
        <v>611</v>
      </c>
      <c r="M75" s="177">
        <f t="shared" si="148"/>
        <v>306</v>
      </c>
      <c r="N75" s="177">
        <f t="shared" si="149"/>
        <v>44</v>
      </c>
      <c r="O75" s="177">
        <f t="shared" si="150"/>
        <v>4</v>
      </c>
      <c r="P75" s="177">
        <f>'2009'!AZ75+'2009'!BA75</f>
        <v>1739</v>
      </c>
      <c r="Q75" s="177">
        <f>'2009'!AU75</f>
        <v>51</v>
      </c>
      <c r="R75" s="177">
        <f t="shared" si="151"/>
        <v>994</v>
      </c>
      <c r="S75" s="177">
        <f t="shared" si="152"/>
        <v>115</v>
      </c>
      <c r="T75" s="177">
        <f t="shared" si="153"/>
        <v>444</v>
      </c>
      <c r="U75" s="179">
        <f t="shared" si="153"/>
        <v>15</v>
      </c>
      <c r="V75" s="177">
        <f t="shared" si="154"/>
        <v>554</v>
      </c>
      <c r="W75" s="177">
        <f t="shared" si="155"/>
        <v>5</v>
      </c>
      <c r="X75" s="177">
        <f t="shared" si="156"/>
        <v>237</v>
      </c>
      <c r="Y75" s="177">
        <f t="shared" si="157"/>
        <v>248</v>
      </c>
      <c r="Z75" s="177">
        <f t="shared" si="158"/>
        <v>51</v>
      </c>
      <c r="AA75" s="177">
        <f t="shared" si="159"/>
        <v>87</v>
      </c>
      <c r="AB75" s="179">
        <f t="shared" si="160"/>
        <v>5</v>
      </c>
      <c r="AC75" s="177">
        <f t="shared" si="161"/>
        <v>3</v>
      </c>
      <c r="AD75" s="177">
        <f t="shared" si="162"/>
        <v>930</v>
      </c>
      <c r="AE75" s="177">
        <f t="shared" si="163"/>
        <v>2240</v>
      </c>
      <c r="AF75" s="177">
        <f t="shared" si="164"/>
        <v>335</v>
      </c>
      <c r="AG75" s="177">
        <f t="shared" si="165"/>
        <v>2339</v>
      </c>
      <c r="AH75" s="177">
        <f t="shared" si="166"/>
        <v>144</v>
      </c>
      <c r="AI75" s="177">
        <f t="shared" si="167"/>
        <v>9</v>
      </c>
      <c r="AJ75" s="177">
        <f t="shared" si="168"/>
        <v>3</v>
      </c>
      <c r="AK75" s="179">
        <f t="shared" si="169"/>
        <v>60</v>
      </c>
      <c r="AL75" s="177">
        <f t="shared" si="170"/>
        <v>5</v>
      </c>
      <c r="AM75" s="177">
        <f t="shared" si="171"/>
        <v>9</v>
      </c>
      <c r="AN75" s="177">
        <f t="shared" si="172"/>
        <v>155</v>
      </c>
      <c r="AO75" s="177">
        <f t="shared" si="173"/>
        <v>43</v>
      </c>
      <c r="AP75" s="177">
        <f t="shared" si="173"/>
        <v>25</v>
      </c>
      <c r="AQ75" s="177">
        <f t="shared" si="174"/>
        <v>13</v>
      </c>
      <c r="AR75" s="177">
        <f t="shared" si="175"/>
        <v>968</v>
      </c>
      <c r="AS75" s="178">
        <f t="shared" si="176"/>
        <v>21</v>
      </c>
      <c r="AT75" s="181">
        <v>119</v>
      </c>
      <c r="AU75" s="181">
        <v>51</v>
      </c>
      <c r="AV75" s="181">
        <v>115</v>
      </c>
      <c r="AW75" s="181">
        <v>44</v>
      </c>
      <c r="AX75" s="181">
        <v>875</v>
      </c>
      <c r="AY75" s="177">
        <v>611</v>
      </c>
      <c r="AZ75" s="177">
        <v>115</v>
      </c>
      <c r="BA75" s="177">
        <v>1624</v>
      </c>
      <c r="BB75" s="177">
        <v>444</v>
      </c>
      <c r="BC75" s="177">
        <v>15</v>
      </c>
      <c r="BD75" s="177">
        <v>306</v>
      </c>
      <c r="BE75" s="177">
        <v>4</v>
      </c>
      <c r="BF75" s="179">
        <v>10</v>
      </c>
      <c r="BG75" s="177">
        <v>130</v>
      </c>
      <c r="BH75" s="177">
        <v>6</v>
      </c>
      <c r="BI75" s="177">
        <v>231</v>
      </c>
      <c r="BJ75" s="177">
        <v>424</v>
      </c>
      <c r="BK75" s="177">
        <v>15</v>
      </c>
      <c r="BL75" s="177">
        <v>1</v>
      </c>
      <c r="BM75" s="177">
        <v>51</v>
      </c>
      <c r="BN75" s="177">
        <v>232</v>
      </c>
      <c r="BO75" s="177">
        <v>0</v>
      </c>
      <c r="BP75" s="177">
        <v>5</v>
      </c>
      <c r="BQ75" s="177">
        <v>87</v>
      </c>
      <c r="BR75" s="179">
        <v>5</v>
      </c>
      <c r="BS75" s="177">
        <v>190</v>
      </c>
      <c r="BT75" s="177">
        <v>2050</v>
      </c>
      <c r="BU75" s="177">
        <v>930</v>
      </c>
      <c r="BV75" s="177">
        <v>2339</v>
      </c>
      <c r="BW75" s="177">
        <v>9</v>
      </c>
      <c r="BX75" s="177">
        <v>3</v>
      </c>
      <c r="BY75" s="177">
        <v>3</v>
      </c>
      <c r="BZ75" s="177">
        <v>144</v>
      </c>
      <c r="CA75" s="177">
        <v>335</v>
      </c>
      <c r="CB75" s="179">
        <v>60</v>
      </c>
      <c r="CC75" s="177">
        <v>43</v>
      </c>
      <c r="CD75" s="177">
        <v>25</v>
      </c>
      <c r="CE75" s="177">
        <v>5</v>
      </c>
      <c r="CF75" s="177">
        <v>3</v>
      </c>
      <c r="CG75" s="177">
        <v>18</v>
      </c>
      <c r="CH75" s="177">
        <v>9</v>
      </c>
      <c r="CI75" s="177">
        <v>968</v>
      </c>
      <c r="CJ75" s="177">
        <v>155</v>
      </c>
      <c r="CK75" s="178">
        <v>13</v>
      </c>
      <c r="CL75" s="180">
        <v>12822</v>
      </c>
    </row>
    <row r="76" spans="1:90">
      <c r="A76" s="93">
        <f>ROWS($A$3:A74)</f>
        <v>72</v>
      </c>
      <c r="B76" s="106" t="s">
        <v>93</v>
      </c>
      <c r="C76" s="243"/>
      <c r="D76" s="314" t="s">
        <v>14</v>
      </c>
      <c r="E76" s="333"/>
      <c r="F76" s="156">
        <v>5370</v>
      </c>
      <c r="G76" s="177">
        <v>1872</v>
      </c>
      <c r="H76" s="177">
        <v>7638</v>
      </c>
      <c r="I76" s="178">
        <v>6768</v>
      </c>
      <c r="J76" s="181"/>
      <c r="K76" s="156">
        <f t="shared" si="146"/>
        <v>1438</v>
      </c>
      <c r="L76" s="177">
        <f t="shared" si="147"/>
        <v>584</v>
      </c>
      <c r="M76" s="177">
        <f t="shared" si="148"/>
        <v>220</v>
      </c>
      <c r="N76" s="177">
        <f t="shared" si="149"/>
        <v>573</v>
      </c>
      <c r="O76" s="177">
        <f t="shared" si="150"/>
        <v>270</v>
      </c>
      <c r="P76" s="177">
        <f>'2009'!AZ76+'2009'!BA76</f>
        <v>179</v>
      </c>
      <c r="Q76" s="177">
        <f>'2009'!AU76</f>
        <v>149</v>
      </c>
      <c r="R76" s="177">
        <f t="shared" si="151"/>
        <v>141</v>
      </c>
      <c r="S76" s="177">
        <f t="shared" si="152"/>
        <v>277</v>
      </c>
      <c r="T76" s="177">
        <f t="shared" si="153"/>
        <v>357</v>
      </c>
      <c r="U76" s="179">
        <f t="shared" si="153"/>
        <v>1182</v>
      </c>
      <c r="V76" s="177">
        <f t="shared" si="154"/>
        <v>157</v>
      </c>
      <c r="W76" s="177">
        <f t="shared" si="155"/>
        <v>441</v>
      </c>
      <c r="X76" s="177">
        <f t="shared" si="156"/>
        <v>171</v>
      </c>
      <c r="Y76" s="177">
        <f t="shared" si="157"/>
        <v>258</v>
      </c>
      <c r="Z76" s="177">
        <f t="shared" si="158"/>
        <v>335</v>
      </c>
      <c r="AA76" s="177">
        <f t="shared" si="159"/>
        <v>164</v>
      </c>
      <c r="AB76" s="179">
        <f t="shared" si="160"/>
        <v>346</v>
      </c>
      <c r="AC76" s="177">
        <f t="shared" si="161"/>
        <v>950</v>
      </c>
      <c r="AD76" s="177">
        <f t="shared" si="162"/>
        <v>717</v>
      </c>
      <c r="AE76" s="177">
        <f t="shared" si="163"/>
        <v>1214</v>
      </c>
      <c r="AF76" s="177">
        <f t="shared" si="164"/>
        <v>766</v>
      </c>
      <c r="AG76" s="177">
        <f t="shared" si="165"/>
        <v>1509</v>
      </c>
      <c r="AH76" s="177">
        <f t="shared" si="166"/>
        <v>384</v>
      </c>
      <c r="AI76" s="177">
        <f t="shared" si="167"/>
        <v>591</v>
      </c>
      <c r="AJ76" s="177">
        <f t="shared" si="168"/>
        <v>332</v>
      </c>
      <c r="AK76" s="179">
        <f t="shared" si="169"/>
        <v>1175</v>
      </c>
      <c r="AL76" s="177">
        <f t="shared" si="170"/>
        <v>493</v>
      </c>
      <c r="AM76" s="177">
        <f t="shared" si="171"/>
        <v>1206</v>
      </c>
      <c r="AN76" s="177">
        <f t="shared" si="172"/>
        <v>2488</v>
      </c>
      <c r="AO76" s="177">
        <f t="shared" si="173"/>
        <v>545</v>
      </c>
      <c r="AP76" s="177">
        <f t="shared" si="173"/>
        <v>122</v>
      </c>
      <c r="AQ76" s="177">
        <f t="shared" si="174"/>
        <v>655</v>
      </c>
      <c r="AR76" s="177">
        <f t="shared" si="175"/>
        <v>515</v>
      </c>
      <c r="AS76" s="178">
        <f t="shared" si="176"/>
        <v>744</v>
      </c>
      <c r="AT76" s="181">
        <v>16</v>
      </c>
      <c r="AU76" s="181">
        <v>149</v>
      </c>
      <c r="AV76" s="181">
        <v>277</v>
      </c>
      <c r="AW76" s="181">
        <v>573</v>
      </c>
      <c r="AX76" s="181">
        <v>125</v>
      </c>
      <c r="AY76" s="177">
        <v>584</v>
      </c>
      <c r="AZ76" s="177">
        <v>5</v>
      </c>
      <c r="BA76" s="177">
        <v>174</v>
      </c>
      <c r="BB76" s="177">
        <v>357</v>
      </c>
      <c r="BC76" s="177">
        <v>1182</v>
      </c>
      <c r="BD76" s="177">
        <v>220</v>
      </c>
      <c r="BE76" s="177">
        <v>270</v>
      </c>
      <c r="BF76" s="179">
        <v>1438</v>
      </c>
      <c r="BG76" s="177">
        <v>28</v>
      </c>
      <c r="BH76" s="177">
        <v>15</v>
      </c>
      <c r="BI76" s="177">
        <v>156</v>
      </c>
      <c r="BJ76" s="177">
        <v>129</v>
      </c>
      <c r="BK76" s="177">
        <v>6</v>
      </c>
      <c r="BL76" s="177">
        <v>8</v>
      </c>
      <c r="BM76" s="177">
        <v>335</v>
      </c>
      <c r="BN76" s="177">
        <v>244</v>
      </c>
      <c r="BO76" s="177">
        <v>13</v>
      </c>
      <c r="BP76" s="177">
        <v>346</v>
      </c>
      <c r="BQ76" s="177">
        <v>151</v>
      </c>
      <c r="BR76" s="179">
        <v>441</v>
      </c>
      <c r="BS76" s="177">
        <v>22</v>
      </c>
      <c r="BT76" s="177">
        <v>1192</v>
      </c>
      <c r="BU76" s="177">
        <v>717</v>
      </c>
      <c r="BV76" s="177">
        <v>1509</v>
      </c>
      <c r="BW76" s="177">
        <v>591</v>
      </c>
      <c r="BX76" s="177">
        <v>950</v>
      </c>
      <c r="BY76" s="177">
        <v>332</v>
      </c>
      <c r="BZ76" s="177">
        <v>384</v>
      </c>
      <c r="CA76" s="177">
        <v>766</v>
      </c>
      <c r="CB76" s="179">
        <v>1175</v>
      </c>
      <c r="CC76" s="177">
        <v>545</v>
      </c>
      <c r="CD76" s="177">
        <v>122</v>
      </c>
      <c r="CE76" s="177">
        <v>493</v>
      </c>
      <c r="CF76" s="177">
        <v>29</v>
      </c>
      <c r="CG76" s="177">
        <v>715</v>
      </c>
      <c r="CH76" s="177">
        <v>1206</v>
      </c>
      <c r="CI76" s="177">
        <v>515</v>
      </c>
      <c r="CJ76" s="177">
        <v>2488</v>
      </c>
      <c r="CK76" s="178">
        <v>655</v>
      </c>
      <c r="CL76" s="180">
        <v>21648</v>
      </c>
    </row>
    <row r="77" spans="1:90">
      <c r="A77" s="93">
        <f>ROWS($A$3:A75)</f>
        <v>73</v>
      </c>
      <c r="B77" s="106" t="s">
        <v>94</v>
      </c>
      <c r="C77" s="243"/>
      <c r="D77" s="314" t="s">
        <v>14</v>
      </c>
      <c r="E77" s="333"/>
      <c r="F77" s="156">
        <v>806</v>
      </c>
      <c r="G77" s="177">
        <v>55</v>
      </c>
      <c r="H77" s="177">
        <v>94</v>
      </c>
      <c r="I77" s="178">
        <v>392</v>
      </c>
      <c r="J77" s="181"/>
      <c r="K77" s="156">
        <f t="shared" si="146"/>
        <v>84</v>
      </c>
      <c r="L77" s="177">
        <f t="shared" si="147"/>
        <v>16</v>
      </c>
      <c r="M77" s="177">
        <f t="shared" si="148"/>
        <v>93</v>
      </c>
      <c r="N77" s="177">
        <f t="shared" si="149"/>
        <v>14</v>
      </c>
      <c r="O77" s="177">
        <f t="shared" si="150"/>
        <v>19</v>
      </c>
      <c r="P77" s="177">
        <f>'2009'!AZ77+'2009'!BA77</f>
        <v>14</v>
      </c>
      <c r="Q77" s="177">
        <f>'2009'!AU77</f>
        <v>8</v>
      </c>
      <c r="R77" s="177">
        <f t="shared" si="151"/>
        <v>14</v>
      </c>
      <c r="S77" s="177">
        <f t="shared" si="152"/>
        <v>7</v>
      </c>
      <c r="T77" s="177">
        <f t="shared" si="153"/>
        <v>119</v>
      </c>
      <c r="U77" s="179">
        <f t="shared" si="153"/>
        <v>418</v>
      </c>
      <c r="V77" s="177">
        <f t="shared" si="154"/>
        <v>3</v>
      </c>
      <c r="W77" s="177">
        <f t="shared" si="155"/>
        <v>8</v>
      </c>
      <c r="X77" s="177">
        <f t="shared" si="156"/>
        <v>3</v>
      </c>
      <c r="Y77" s="177">
        <f t="shared" si="157"/>
        <v>17</v>
      </c>
      <c r="Z77" s="177">
        <f t="shared" si="158"/>
        <v>13</v>
      </c>
      <c r="AA77" s="177">
        <f t="shared" si="159"/>
        <v>4</v>
      </c>
      <c r="AB77" s="179">
        <f t="shared" si="160"/>
        <v>7</v>
      </c>
      <c r="AC77" s="177">
        <f t="shared" si="161"/>
        <v>14</v>
      </c>
      <c r="AD77" s="177">
        <f t="shared" si="162"/>
        <v>6</v>
      </c>
      <c r="AE77" s="177">
        <f t="shared" si="163"/>
        <v>6</v>
      </c>
      <c r="AF77" s="177">
        <f t="shared" si="164"/>
        <v>2</v>
      </c>
      <c r="AG77" s="177">
        <f t="shared" si="165"/>
        <v>20</v>
      </c>
      <c r="AH77" s="177">
        <f t="shared" si="166"/>
        <v>14</v>
      </c>
      <c r="AI77" s="177">
        <f t="shared" si="167"/>
        <v>13</v>
      </c>
      <c r="AJ77" s="177">
        <f t="shared" si="168"/>
        <v>3</v>
      </c>
      <c r="AK77" s="179">
        <f t="shared" si="169"/>
        <v>16</v>
      </c>
      <c r="AL77" s="177">
        <f t="shared" si="170"/>
        <v>3</v>
      </c>
      <c r="AM77" s="177">
        <f t="shared" si="171"/>
        <v>92</v>
      </c>
      <c r="AN77" s="177">
        <f t="shared" si="172"/>
        <v>52</v>
      </c>
      <c r="AO77" s="177">
        <f t="shared" si="173"/>
        <v>26</v>
      </c>
      <c r="AP77" s="177">
        <f t="shared" si="173"/>
        <v>3</v>
      </c>
      <c r="AQ77" s="177">
        <f t="shared" si="174"/>
        <v>42</v>
      </c>
      <c r="AR77" s="177">
        <f t="shared" si="175"/>
        <v>10</v>
      </c>
      <c r="AS77" s="178">
        <f t="shared" si="176"/>
        <v>164</v>
      </c>
      <c r="AT77" s="181">
        <v>1</v>
      </c>
      <c r="AU77" s="181">
        <v>8</v>
      </c>
      <c r="AV77" s="181">
        <v>7</v>
      </c>
      <c r="AW77" s="181">
        <v>14</v>
      </c>
      <c r="AX77" s="181">
        <v>13</v>
      </c>
      <c r="AY77" s="177">
        <v>16</v>
      </c>
      <c r="AZ77" s="177">
        <v>1</v>
      </c>
      <c r="BA77" s="177">
        <v>13</v>
      </c>
      <c r="BB77" s="177">
        <v>119</v>
      </c>
      <c r="BC77" s="177">
        <v>418</v>
      </c>
      <c r="BD77" s="177">
        <v>93</v>
      </c>
      <c r="BE77" s="177">
        <v>19</v>
      </c>
      <c r="BF77" s="179">
        <v>84</v>
      </c>
      <c r="BG77" s="177">
        <v>0</v>
      </c>
      <c r="BH77" s="177">
        <v>0</v>
      </c>
      <c r="BI77" s="177">
        <v>3</v>
      </c>
      <c r="BJ77" s="177">
        <v>3</v>
      </c>
      <c r="BK77" s="177">
        <v>0</v>
      </c>
      <c r="BL77" s="177">
        <v>1</v>
      </c>
      <c r="BM77" s="177">
        <v>13</v>
      </c>
      <c r="BN77" s="177">
        <v>16</v>
      </c>
      <c r="BO77" s="177">
        <v>0</v>
      </c>
      <c r="BP77" s="177">
        <v>7</v>
      </c>
      <c r="BQ77" s="177">
        <v>4</v>
      </c>
      <c r="BR77" s="179">
        <v>8</v>
      </c>
      <c r="BS77" s="177">
        <v>0</v>
      </c>
      <c r="BT77" s="177">
        <v>6</v>
      </c>
      <c r="BU77" s="177">
        <v>6</v>
      </c>
      <c r="BV77" s="177">
        <v>20</v>
      </c>
      <c r="BW77" s="177">
        <v>13</v>
      </c>
      <c r="BX77" s="177">
        <v>14</v>
      </c>
      <c r="BY77" s="177">
        <v>3</v>
      </c>
      <c r="BZ77" s="177">
        <v>14</v>
      </c>
      <c r="CA77" s="177">
        <v>2</v>
      </c>
      <c r="CB77" s="179">
        <v>16</v>
      </c>
      <c r="CC77" s="177">
        <v>26</v>
      </c>
      <c r="CD77" s="177">
        <v>3</v>
      </c>
      <c r="CE77" s="177">
        <v>3</v>
      </c>
      <c r="CF77" s="177">
        <v>8</v>
      </c>
      <c r="CG77" s="177">
        <v>156</v>
      </c>
      <c r="CH77" s="177">
        <v>92</v>
      </c>
      <c r="CI77" s="177">
        <v>10</v>
      </c>
      <c r="CJ77" s="177">
        <v>52</v>
      </c>
      <c r="CK77" s="178">
        <v>42</v>
      </c>
      <c r="CL77" s="180">
        <v>1347</v>
      </c>
    </row>
    <row r="78" spans="1:90">
      <c r="A78" s="93">
        <f>ROWS($A$3:A76)</f>
        <v>74</v>
      </c>
      <c r="B78" s="106" t="s">
        <v>95</v>
      </c>
      <c r="C78" s="243"/>
      <c r="D78" s="314" t="s">
        <v>14</v>
      </c>
      <c r="E78" s="333"/>
      <c r="F78" s="156">
        <v>3870</v>
      </c>
      <c r="G78" s="177">
        <v>1268</v>
      </c>
      <c r="H78" s="177">
        <v>2311</v>
      </c>
      <c r="I78" s="178">
        <v>3004</v>
      </c>
      <c r="J78" s="181"/>
      <c r="K78" s="156">
        <f t="shared" si="146"/>
        <v>447</v>
      </c>
      <c r="L78" s="177">
        <f t="shared" si="147"/>
        <v>277</v>
      </c>
      <c r="M78" s="177">
        <f t="shared" si="148"/>
        <v>487</v>
      </c>
      <c r="N78" s="177">
        <f t="shared" si="149"/>
        <v>185</v>
      </c>
      <c r="O78" s="177">
        <f t="shared" si="150"/>
        <v>192</v>
      </c>
      <c r="P78" s="177">
        <f>'2009'!AZ78+'2009'!BA78</f>
        <v>423</v>
      </c>
      <c r="Q78" s="177">
        <f>'2009'!AU78</f>
        <v>202</v>
      </c>
      <c r="R78" s="177">
        <f t="shared" si="151"/>
        <v>369</v>
      </c>
      <c r="S78" s="177">
        <f t="shared" si="152"/>
        <v>192</v>
      </c>
      <c r="T78" s="177">
        <f t="shared" si="153"/>
        <v>435</v>
      </c>
      <c r="U78" s="179">
        <f t="shared" si="153"/>
        <v>661</v>
      </c>
      <c r="V78" s="177">
        <f t="shared" si="154"/>
        <v>105</v>
      </c>
      <c r="W78" s="177">
        <f t="shared" si="155"/>
        <v>115</v>
      </c>
      <c r="X78" s="177">
        <f t="shared" si="156"/>
        <v>181</v>
      </c>
      <c r="Y78" s="177">
        <f t="shared" si="157"/>
        <v>229</v>
      </c>
      <c r="Z78" s="177">
        <f t="shared" si="158"/>
        <v>330</v>
      </c>
      <c r="AA78" s="177">
        <f t="shared" si="159"/>
        <v>148</v>
      </c>
      <c r="AB78" s="179">
        <f t="shared" si="160"/>
        <v>160</v>
      </c>
      <c r="AC78" s="177">
        <f t="shared" si="161"/>
        <v>216</v>
      </c>
      <c r="AD78" s="177">
        <f t="shared" si="162"/>
        <v>160</v>
      </c>
      <c r="AE78" s="177">
        <f t="shared" si="163"/>
        <v>288</v>
      </c>
      <c r="AF78" s="177">
        <f t="shared" si="164"/>
        <v>179</v>
      </c>
      <c r="AG78" s="177">
        <f t="shared" si="165"/>
        <v>584</v>
      </c>
      <c r="AH78" s="177">
        <f t="shared" si="166"/>
        <v>239</v>
      </c>
      <c r="AI78" s="177">
        <f t="shared" si="167"/>
        <v>247</v>
      </c>
      <c r="AJ78" s="177">
        <f t="shared" si="168"/>
        <v>165</v>
      </c>
      <c r="AK78" s="179">
        <f t="shared" si="169"/>
        <v>233</v>
      </c>
      <c r="AL78" s="177">
        <f t="shared" si="170"/>
        <v>186</v>
      </c>
      <c r="AM78" s="177">
        <f t="shared" si="171"/>
        <v>458</v>
      </c>
      <c r="AN78" s="177">
        <f t="shared" si="172"/>
        <v>251</v>
      </c>
      <c r="AO78" s="177">
        <f t="shared" si="173"/>
        <v>366</v>
      </c>
      <c r="AP78" s="177">
        <f t="shared" si="173"/>
        <v>137</v>
      </c>
      <c r="AQ78" s="177">
        <f t="shared" si="174"/>
        <v>502</v>
      </c>
      <c r="AR78" s="177">
        <f t="shared" si="175"/>
        <v>317</v>
      </c>
      <c r="AS78" s="178">
        <f t="shared" si="176"/>
        <v>787</v>
      </c>
      <c r="AT78" s="181">
        <v>29</v>
      </c>
      <c r="AU78" s="181">
        <v>202</v>
      </c>
      <c r="AV78" s="181">
        <v>192</v>
      </c>
      <c r="AW78" s="181">
        <v>185</v>
      </c>
      <c r="AX78" s="181">
        <v>340</v>
      </c>
      <c r="AY78" s="177">
        <v>277</v>
      </c>
      <c r="AZ78" s="177">
        <v>18</v>
      </c>
      <c r="BA78" s="177">
        <v>405</v>
      </c>
      <c r="BB78" s="177">
        <v>435</v>
      </c>
      <c r="BC78" s="177">
        <v>661</v>
      </c>
      <c r="BD78" s="177">
        <v>487</v>
      </c>
      <c r="BE78" s="177">
        <v>192</v>
      </c>
      <c r="BF78" s="179">
        <v>447</v>
      </c>
      <c r="BG78" s="177">
        <v>6</v>
      </c>
      <c r="BH78" s="177">
        <v>15</v>
      </c>
      <c r="BI78" s="177">
        <v>166</v>
      </c>
      <c r="BJ78" s="177">
        <v>99</v>
      </c>
      <c r="BK78" s="177">
        <v>19</v>
      </c>
      <c r="BL78" s="177">
        <v>4</v>
      </c>
      <c r="BM78" s="177">
        <v>330</v>
      </c>
      <c r="BN78" s="177">
        <v>206</v>
      </c>
      <c r="BO78" s="177">
        <v>7</v>
      </c>
      <c r="BP78" s="177">
        <v>160</v>
      </c>
      <c r="BQ78" s="177">
        <v>141</v>
      </c>
      <c r="BR78" s="179">
        <v>115</v>
      </c>
      <c r="BS78" s="177">
        <v>29</v>
      </c>
      <c r="BT78" s="177">
        <v>259</v>
      </c>
      <c r="BU78" s="177">
        <v>160</v>
      </c>
      <c r="BV78" s="177">
        <v>584</v>
      </c>
      <c r="BW78" s="177">
        <v>247</v>
      </c>
      <c r="BX78" s="177">
        <v>216</v>
      </c>
      <c r="BY78" s="177">
        <v>165</v>
      </c>
      <c r="BZ78" s="177">
        <v>239</v>
      </c>
      <c r="CA78" s="177">
        <v>179</v>
      </c>
      <c r="CB78" s="179">
        <v>233</v>
      </c>
      <c r="CC78" s="177">
        <v>366</v>
      </c>
      <c r="CD78" s="177">
        <v>137</v>
      </c>
      <c r="CE78" s="177">
        <v>186</v>
      </c>
      <c r="CF78" s="177">
        <v>47</v>
      </c>
      <c r="CG78" s="177">
        <v>740</v>
      </c>
      <c r="CH78" s="177">
        <v>458</v>
      </c>
      <c r="CI78" s="177">
        <v>317</v>
      </c>
      <c r="CJ78" s="177">
        <v>251</v>
      </c>
      <c r="CK78" s="178">
        <v>502</v>
      </c>
      <c r="CL78" s="180">
        <v>10453</v>
      </c>
    </row>
    <row r="79" spans="1:90">
      <c r="A79" s="93">
        <f>ROWS($A$3:A77)</f>
        <v>75</v>
      </c>
      <c r="B79" s="67" t="s">
        <v>84</v>
      </c>
      <c r="C79" s="242">
        <v>2008</v>
      </c>
      <c r="D79" s="314"/>
      <c r="E79" s="333"/>
      <c r="F79" s="156"/>
      <c r="G79" s="177"/>
      <c r="H79" s="177"/>
      <c r="I79" s="178"/>
      <c r="J79" s="181"/>
      <c r="K79" s="156"/>
      <c r="L79" s="177"/>
      <c r="M79" s="177"/>
      <c r="N79" s="177"/>
      <c r="O79" s="177"/>
      <c r="P79" s="177"/>
      <c r="Q79" s="177"/>
      <c r="R79" s="177"/>
      <c r="S79" s="177"/>
      <c r="T79" s="177"/>
      <c r="U79" s="179"/>
      <c r="V79" s="177"/>
      <c r="W79" s="177"/>
      <c r="X79" s="177"/>
      <c r="Y79" s="177"/>
      <c r="Z79" s="177"/>
      <c r="AA79" s="177"/>
      <c r="AB79" s="179"/>
      <c r="AC79" s="177"/>
      <c r="AD79" s="177"/>
      <c r="AE79" s="177"/>
      <c r="AF79" s="177"/>
      <c r="AG79" s="177"/>
      <c r="AH79" s="177"/>
      <c r="AI79" s="177"/>
      <c r="AJ79" s="177"/>
      <c r="AK79" s="179"/>
      <c r="AL79" s="177"/>
      <c r="AM79" s="177"/>
      <c r="AN79" s="177"/>
      <c r="AO79" s="177"/>
      <c r="AP79" s="177"/>
      <c r="AQ79" s="177"/>
      <c r="AR79" s="177"/>
      <c r="AS79" s="178"/>
      <c r="AT79" s="177"/>
      <c r="AU79" s="177"/>
      <c r="AV79" s="177"/>
      <c r="AW79" s="177"/>
      <c r="AX79" s="177"/>
      <c r="AY79" s="177"/>
      <c r="AZ79" s="177"/>
      <c r="BA79" s="177"/>
      <c r="BB79" s="177"/>
      <c r="BC79" s="177"/>
      <c r="BD79" s="177"/>
      <c r="BE79" s="177"/>
      <c r="BF79" s="179"/>
      <c r="BG79" s="177"/>
      <c r="BH79" s="177"/>
      <c r="BI79" s="177"/>
      <c r="BJ79" s="177"/>
      <c r="BK79" s="177"/>
      <c r="BL79" s="177"/>
      <c r="BM79" s="177"/>
      <c r="BN79" s="177"/>
      <c r="BO79" s="177"/>
      <c r="BP79" s="177"/>
      <c r="BQ79" s="177"/>
      <c r="BR79" s="179"/>
      <c r="BS79" s="177"/>
      <c r="BT79" s="177"/>
      <c r="BU79" s="177"/>
      <c r="BV79" s="177"/>
      <c r="BW79" s="177"/>
      <c r="BX79" s="177"/>
      <c r="BY79" s="177"/>
      <c r="BZ79" s="177"/>
      <c r="CA79" s="177"/>
      <c r="CB79" s="179"/>
      <c r="CC79" s="177"/>
      <c r="CD79" s="177"/>
      <c r="CE79" s="177"/>
      <c r="CF79" s="177"/>
      <c r="CG79" s="177"/>
      <c r="CH79" s="177"/>
      <c r="CI79" s="177"/>
      <c r="CJ79" s="177"/>
      <c r="CK79" s="178"/>
      <c r="CL79" s="180" t="s">
        <v>60</v>
      </c>
    </row>
    <row r="80" spans="1:90">
      <c r="A80" s="93">
        <f>ROWS($A$3:A78)</f>
        <v>76</v>
      </c>
      <c r="B80" s="106" t="s">
        <v>96</v>
      </c>
      <c r="C80" s="245"/>
      <c r="D80" s="314" t="s">
        <v>14</v>
      </c>
      <c r="E80" s="334"/>
      <c r="F80" s="156">
        <v>16240</v>
      </c>
      <c r="G80" s="177">
        <v>5846</v>
      </c>
      <c r="H80" s="177">
        <v>14532</v>
      </c>
      <c r="I80" s="178">
        <v>14317</v>
      </c>
      <c r="J80" s="181"/>
      <c r="K80" s="156">
        <f t="shared" ref="K80:K85" si="177">BF80</f>
        <v>2583</v>
      </c>
      <c r="L80" s="177">
        <f t="shared" ref="L80:L85" si="178">AY80</f>
        <v>1200</v>
      </c>
      <c r="M80" s="177">
        <f t="shared" ref="M80:M85" si="179">BD80</f>
        <v>1954</v>
      </c>
      <c r="N80" s="177">
        <f t="shared" ref="N80:N85" si="180">AW80</f>
        <v>897</v>
      </c>
      <c r="O80" s="177">
        <f t="shared" ref="O80:O85" si="181">BE80</f>
        <v>684</v>
      </c>
      <c r="P80" s="177">
        <f>'2009'!AZ80+'2009'!BA80</f>
        <v>1200</v>
      </c>
      <c r="Q80" s="177">
        <f>'2009'!AU80</f>
        <v>0</v>
      </c>
      <c r="R80" s="177">
        <f t="shared" ref="R80:R85" si="182">AT80+AX80</f>
        <v>1181</v>
      </c>
      <c r="S80" s="177">
        <f t="shared" ref="S80:S85" si="183">AV80</f>
        <v>637</v>
      </c>
      <c r="T80" s="177">
        <f t="shared" ref="T80:U85" si="184">BB80</f>
        <v>1583</v>
      </c>
      <c r="U80" s="179">
        <f t="shared" si="184"/>
        <v>2844</v>
      </c>
      <c r="V80" s="177">
        <f t="shared" ref="V80:V85" si="185">BG80+BJ80</f>
        <v>570</v>
      </c>
      <c r="W80" s="177">
        <f t="shared" ref="W80:W85" si="186">BR80</f>
        <v>949</v>
      </c>
      <c r="X80" s="177">
        <f t="shared" ref="X80:X85" si="187">BH80+BI80</f>
        <v>810</v>
      </c>
      <c r="Y80" s="177">
        <f t="shared" ref="Y80:Y85" si="188">BK80+BL80+BN80</f>
        <v>1081</v>
      </c>
      <c r="Z80" s="177">
        <f t="shared" ref="Z80:Z85" si="189">BM80</f>
        <v>1246</v>
      </c>
      <c r="AA80" s="177">
        <f t="shared" ref="AA80:AA85" si="190">BO80+BQ80</f>
        <v>467</v>
      </c>
      <c r="AB80" s="179">
        <f t="shared" ref="AB80:AB85" si="191">BP80</f>
        <v>723</v>
      </c>
      <c r="AC80" s="177">
        <f t="shared" ref="AC80:AC85" si="192">BX80</f>
        <v>1373</v>
      </c>
      <c r="AD80" s="177">
        <f t="shared" ref="AD80:AD85" si="193">BU80</f>
        <v>1273</v>
      </c>
      <c r="AE80" s="177">
        <f t="shared" ref="AE80:AE85" si="194">BS80+BT80</f>
        <v>2289</v>
      </c>
      <c r="AF80" s="177">
        <f t="shared" ref="AF80:AF85" si="195">CA80</f>
        <v>1225</v>
      </c>
      <c r="AG80" s="177">
        <f t="shared" ref="AG80:AG85" si="196">BV80</f>
        <v>3639</v>
      </c>
      <c r="AH80" s="177">
        <f t="shared" ref="AH80:AH85" si="197">BZ80</f>
        <v>1046</v>
      </c>
      <c r="AI80" s="177">
        <f t="shared" ref="AI80:AI85" si="198">BW80</f>
        <v>1162</v>
      </c>
      <c r="AJ80" s="177">
        <f t="shared" ref="AJ80:AJ85" si="199">BY80</f>
        <v>603</v>
      </c>
      <c r="AK80" s="179">
        <f t="shared" ref="AK80:AK85" si="200">CB80</f>
        <v>1922</v>
      </c>
      <c r="AL80" s="177">
        <f t="shared" ref="AL80:AL85" si="201">CE80</f>
        <v>988</v>
      </c>
      <c r="AM80" s="177">
        <f t="shared" ref="AM80:AM85" si="202">CH80</f>
        <v>2353</v>
      </c>
      <c r="AN80" s="177">
        <f t="shared" ref="AN80:AN85" si="203">CJ80</f>
        <v>3357</v>
      </c>
      <c r="AO80" s="177">
        <f t="shared" ref="AO80:AP85" si="204">CC80</f>
        <v>1276</v>
      </c>
      <c r="AP80" s="177">
        <f t="shared" si="204"/>
        <v>513</v>
      </c>
      <c r="AQ80" s="177">
        <f t="shared" ref="AQ80:AQ85" si="205">CK80</f>
        <v>1720</v>
      </c>
      <c r="AR80" s="177">
        <f t="shared" ref="AR80:AR85" si="206">CI80</f>
        <v>1575</v>
      </c>
      <c r="AS80" s="178">
        <f t="shared" ref="AS80:AS85" si="207">CF80+CG80</f>
        <v>2535</v>
      </c>
      <c r="AT80" s="181">
        <v>0</v>
      </c>
      <c r="AU80" s="181">
        <v>0</v>
      </c>
      <c r="AV80" s="181">
        <v>637</v>
      </c>
      <c r="AW80" s="181">
        <v>897</v>
      </c>
      <c r="AX80" s="181">
        <v>1181</v>
      </c>
      <c r="AY80" s="177">
        <v>1200</v>
      </c>
      <c r="AZ80" s="177">
        <v>0</v>
      </c>
      <c r="BA80" s="177">
        <v>1200</v>
      </c>
      <c r="BB80" s="177">
        <v>1583</v>
      </c>
      <c r="BC80" s="177">
        <v>2844</v>
      </c>
      <c r="BD80" s="177">
        <v>1954</v>
      </c>
      <c r="BE80" s="177">
        <v>684</v>
      </c>
      <c r="BF80" s="179">
        <v>2583</v>
      </c>
      <c r="BG80" s="177">
        <v>0</v>
      </c>
      <c r="BH80" s="177">
        <v>0</v>
      </c>
      <c r="BI80" s="177">
        <v>810</v>
      </c>
      <c r="BJ80" s="177">
        <v>570</v>
      </c>
      <c r="BK80" s="177">
        <v>0</v>
      </c>
      <c r="BL80" s="177">
        <v>0</v>
      </c>
      <c r="BM80" s="177">
        <v>1246</v>
      </c>
      <c r="BN80" s="177">
        <v>1081</v>
      </c>
      <c r="BO80" s="177">
        <v>0</v>
      </c>
      <c r="BP80" s="177">
        <v>723</v>
      </c>
      <c r="BQ80" s="177">
        <v>467</v>
      </c>
      <c r="BR80" s="179">
        <v>949</v>
      </c>
      <c r="BS80" s="177">
        <v>0</v>
      </c>
      <c r="BT80" s="177">
        <v>2289</v>
      </c>
      <c r="BU80" s="177">
        <v>1273</v>
      </c>
      <c r="BV80" s="177">
        <v>3639</v>
      </c>
      <c r="BW80" s="177">
        <v>1162</v>
      </c>
      <c r="BX80" s="177">
        <v>1373</v>
      </c>
      <c r="BY80" s="177">
        <v>603</v>
      </c>
      <c r="BZ80" s="177">
        <v>1046</v>
      </c>
      <c r="CA80" s="177">
        <v>1225</v>
      </c>
      <c r="CB80" s="179">
        <v>1922</v>
      </c>
      <c r="CC80" s="177">
        <v>1276</v>
      </c>
      <c r="CD80" s="177">
        <v>513</v>
      </c>
      <c r="CE80" s="177">
        <v>988</v>
      </c>
      <c r="CF80" s="177">
        <v>0</v>
      </c>
      <c r="CG80" s="177">
        <v>2535</v>
      </c>
      <c r="CH80" s="177">
        <v>2353</v>
      </c>
      <c r="CI80" s="177">
        <v>1575</v>
      </c>
      <c r="CJ80" s="177">
        <v>3357</v>
      </c>
      <c r="CK80" s="178">
        <v>1720</v>
      </c>
      <c r="CL80" s="189">
        <v>1456</v>
      </c>
    </row>
    <row r="81" spans="1:90">
      <c r="A81" s="93">
        <f>ROWS($A$3:A79)</f>
        <v>77</v>
      </c>
      <c r="B81" s="106" t="s">
        <v>97</v>
      </c>
      <c r="C81" s="243"/>
      <c r="D81" s="314" t="s">
        <v>14</v>
      </c>
      <c r="E81" s="334"/>
      <c r="F81" s="156">
        <v>549195</v>
      </c>
      <c r="G81" s="177">
        <v>247320</v>
      </c>
      <c r="H81" s="177">
        <v>411311</v>
      </c>
      <c r="I81" s="178">
        <v>377603</v>
      </c>
      <c r="J81" s="181"/>
      <c r="K81" s="156">
        <f t="shared" si="177"/>
        <v>60088</v>
      </c>
      <c r="L81" s="177">
        <f t="shared" si="178"/>
        <v>49480</v>
      </c>
      <c r="M81" s="177">
        <f t="shared" si="179"/>
        <v>71091</v>
      </c>
      <c r="N81" s="177">
        <f t="shared" si="180"/>
        <v>31583</v>
      </c>
      <c r="O81" s="177">
        <f t="shared" si="181"/>
        <v>21161</v>
      </c>
      <c r="P81" s="177">
        <f>'2009'!AZ81+'2009'!BA81</f>
        <v>49480</v>
      </c>
      <c r="Q81" s="177">
        <f>'2009'!AU81</f>
        <v>0</v>
      </c>
      <c r="R81" s="177">
        <f t="shared" si="182"/>
        <v>56347</v>
      </c>
      <c r="S81" s="177">
        <f t="shared" si="183"/>
        <v>34772</v>
      </c>
      <c r="T81" s="177">
        <f t="shared" si="184"/>
        <v>41159</v>
      </c>
      <c r="U81" s="179">
        <f t="shared" si="184"/>
        <v>74062</v>
      </c>
      <c r="V81" s="177">
        <f t="shared" si="185"/>
        <v>25153</v>
      </c>
      <c r="W81" s="177">
        <f t="shared" si="186"/>
        <v>26263</v>
      </c>
      <c r="X81" s="177">
        <f t="shared" si="187"/>
        <v>41739</v>
      </c>
      <c r="Y81" s="177">
        <f t="shared" si="188"/>
        <v>41846</v>
      </c>
      <c r="Z81" s="177">
        <f t="shared" si="189"/>
        <v>51140</v>
      </c>
      <c r="AA81" s="177">
        <f t="shared" si="190"/>
        <v>33188</v>
      </c>
      <c r="AB81" s="179">
        <f t="shared" si="191"/>
        <v>27991</v>
      </c>
      <c r="AC81" s="177">
        <f t="shared" si="192"/>
        <v>35725</v>
      </c>
      <c r="AD81" s="177">
        <f t="shared" si="193"/>
        <v>33481</v>
      </c>
      <c r="AE81" s="177">
        <f t="shared" si="194"/>
        <v>60402</v>
      </c>
      <c r="AF81" s="177">
        <f t="shared" si="195"/>
        <v>38371</v>
      </c>
      <c r="AG81" s="177">
        <f t="shared" si="196"/>
        <v>89202</v>
      </c>
      <c r="AH81" s="177">
        <f t="shared" si="197"/>
        <v>37474</v>
      </c>
      <c r="AI81" s="177">
        <f t="shared" si="198"/>
        <v>36645</v>
      </c>
      <c r="AJ81" s="177">
        <f t="shared" si="199"/>
        <v>26843</v>
      </c>
      <c r="AK81" s="179">
        <f t="shared" si="200"/>
        <v>53168</v>
      </c>
      <c r="AL81" s="177">
        <f t="shared" si="201"/>
        <v>39724</v>
      </c>
      <c r="AM81" s="177">
        <f t="shared" si="202"/>
        <v>57458</v>
      </c>
      <c r="AN81" s="177">
        <f t="shared" si="203"/>
        <v>53437</v>
      </c>
      <c r="AO81" s="177">
        <f t="shared" si="204"/>
        <v>49117</v>
      </c>
      <c r="AP81" s="177">
        <f t="shared" si="204"/>
        <v>31570</v>
      </c>
      <c r="AQ81" s="177">
        <f t="shared" si="205"/>
        <v>47176</v>
      </c>
      <c r="AR81" s="177">
        <f t="shared" si="206"/>
        <v>33661</v>
      </c>
      <c r="AS81" s="178">
        <f t="shared" si="207"/>
        <v>65460</v>
      </c>
      <c r="AT81" s="181">
        <v>0</v>
      </c>
      <c r="AU81" s="181">
        <v>0</v>
      </c>
      <c r="AV81" s="181">
        <v>34772</v>
      </c>
      <c r="AW81" s="181">
        <v>31583</v>
      </c>
      <c r="AX81" s="181">
        <v>56347</v>
      </c>
      <c r="AY81" s="177">
        <v>49480</v>
      </c>
      <c r="AZ81" s="177">
        <v>0</v>
      </c>
      <c r="BA81" s="177">
        <v>49480</v>
      </c>
      <c r="BB81" s="177">
        <v>41159</v>
      </c>
      <c r="BC81" s="177">
        <v>74062</v>
      </c>
      <c r="BD81" s="177">
        <v>71091</v>
      </c>
      <c r="BE81" s="177">
        <v>21161</v>
      </c>
      <c r="BF81" s="179">
        <v>60088</v>
      </c>
      <c r="BG81" s="177">
        <v>0</v>
      </c>
      <c r="BH81" s="177">
        <v>0</v>
      </c>
      <c r="BI81" s="177">
        <v>41739</v>
      </c>
      <c r="BJ81" s="177">
        <v>25153</v>
      </c>
      <c r="BK81" s="177">
        <v>0</v>
      </c>
      <c r="BL81" s="177">
        <v>0</v>
      </c>
      <c r="BM81" s="177">
        <v>51140</v>
      </c>
      <c r="BN81" s="177">
        <v>41846</v>
      </c>
      <c r="BO81" s="177">
        <v>0</v>
      </c>
      <c r="BP81" s="177">
        <v>27991</v>
      </c>
      <c r="BQ81" s="177">
        <v>33188</v>
      </c>
      <c r="BR81" s="179">
        <v>26263</v>
      </c>
      <c r="BS81" s="177">
        <v>0</v>
      </c>
      <c r="BT81" s="177">
        <v>60402</v>
      </c>
      <c r="BU81" s="177">
        <v>33481</v>
      </c>
      <c r="BV81" s="177">
        <v>89202</v>
      </c>
      <c r="BW81" s="177">
        <v>36645</v>
      </c>
      <c r="BX81" s="177">
        <v>35725</v>
      </c>
      <c r="BY81" s="177">
        <v>26843</v>
      </c>
      <c r="BZ81" s="177">
        <v>37474</v>
      </c>
      <c r="CA81" s="177">
        <v>38371</v>
      </c>
      <c r="CB81" s="179">
        <v>53168</v>
      </c>
      <c r="CC81" s="177">
        <v>49117</v>
      </c>
      <c r="CD81" s="177">
        <v>31570</v>
      </c>
      <c r="CE81" s="177">
        <v>39724</v>
      </c>
      <c r="CF81" s="177">
        <v>0</v>
      </c>
      <c r="CG81" s="177">
        <v>65460</v>
      </c>
      <c r="CH81" s="177">
        <v>57458</v>
      </c>
      <c r="CI81" s="177">
        <v>33661</v>
      </c>
      <c r="CJ81" s="177">
        <v>53437</v>
      </c>
      <c r="CK81" s="178">
        <v>47176</v>
      </c>
      <c r="CL81" s="189">
        <v>45296</v>
      </c>
    </row>
    <row r="82" spans="1:90">
      <c r="A82" s="93">
        <f>ROWS($A$3:A80)</f>
        <v>78</v>
      </c>
      <c r="B82" s="62" t="s">
        <v>98</v>
      </c>
      <c r="C82" s="312"/>
      <c r="D82" s="314" t="s">
        <v>14</v>
      </c>
      <c r="E82" s="334"/>
      <c r="F82" s="182">
        <f>IF(OR(F80&lt;0.1,F81&lt;0.1),0,F81/F80)</f>
        <v>33.817426108374384</v>
      </c>
      <c r="G82" s="183">
        <f>IF(OR(G80&lt;0.1,G81&lt;0.1),0,G81/G80)</f>
        <v>42.305850153951418</v>
      </c>
      <c r="H82" s="183">
        <f>IF(OR(H80&lt;0.1,H81&lt;0.1),0,H81/H80)</f>
        <v>28.303812276355629</v>
      </c>
      <c r="I82" s="184">
        <f>IF(OR(I80&lt;0.1,I81&lt;0.1),0,I81/I80)</f>
        <v>26.374449954599427</v>
      </c>
      <c r="J82" s="181"/>
      <c r="K82" s="185">
        <f t="shared" si="177"/>
        <v>23.262872628726289</v>
      </c>
      <c r="L82" s="186">
        <f t="shared" si="178"/>
        <v>41.233333333333334</v>
      </c>
      <c r="M82" s="186">
        <f t="shared" si="179"/>
        <v>36.382292732855682</v>
      </c>
      <c r="N82" s="186">
        <f t="shared" si="180"/>
        <v>35.20958751393534</v>
      </c>
      <c r="O82" s="186">
        <f t="shared" si="181"/>
        <v>30.937134502923978</v>
      </c>
      <c r="P82" s="183">
        <f>P81/P80</f>
        <v>41.233333333333334</v>
      </c>
      <c r="Q82" s="186">
        <f>'2009'!AU82</f>
        <v>0</v>
      </c>
      <c r="R82" s="186">
        <f t="shared" si="182"/>
        <v>47.711261642675701</v>
      </c>
      <c r="S82" s="186">
        <f t="shared" si="183"/>
        <v>54.587127158555731</v>
      </c>
      <c r="T82" s="186">
        <f t="shared" si="184"/>
        <v>26.000631711939356</v>
      </c>
      <c r="U82" s="187">
        <f t="shared" si="184"/>
        <v>26.041490857946552</v>
      </c>
      <c r="V82" s="186">
        <f t="shared" si="185"/>
        <v>44.128070175438594</v>
      </c>
      <c r="W82" s="186">
        <f t="shared" si="186"/>
        <v>27.674394099051632</v>
      </c>
      <c r="X82" s="186">
        <f t="shared" si="187"/>
        <v>51.529629629629632</v>
      </c>
      <c r="Y82" s="186">
        <f t="shared" si="188"/>
        <v>38.710453283996301</v>
      </c>
      <c r="Z82" s="186">
        <f t="shared" si="189"/>
        <v>41.043338683788122</v>
      </c>
      <c r="AA82" s="186">
        <f t="shared" si="190"/>
        <v>71.066381156316922</v>
      </c>
      <c r="AB82" s="187">
        <f t="shared" si="191"/>
        <v>38.715076071922546</v>
      </c>
      <c r="AC82" s="186">
        <f t="shared" si="192"/>
        <v>26.019664967225054</v>
      </c>
      <c r="AD82" s="186">
        <f t="shared" si="193"/>
        <v>26.300864100549884</v>
      </c>
      <c r="AE82" s="186">
        <f t="shared" si="194"/>
        <v>26.387942332896461</v>
      </c>
      <c r="AF82" s="186">
        <f t="shared" si="195"/>
        <v>31.323265306122448</v>
      </c>
      <c r="AG82" s="186">
        <f t="shared" si="196"/>
        <v>24.512778235779059</v>
      </c>
      <c r="AH82" s="186">
        <f t="shared" si="197"/>
        <v>35.826003824091778</v>
      </c>
      <c r="AI82" s="186">
        <f t="shared" si="198"/>
        <v>31.536144578313252</v>
      </c>
      <c r="AJ82" s="186">
        <f t="shared" si="199"/>
        <v>44.515754560530681</v>
      </c>
      <c r="AK82" s="187">
        <f t="shared" si="200"/>
        <v>27.662851196670136</v>
      </c>
      <c r="AL82" s="186">
        <f t="shared" si="201"/>
        <v>40.206477732793523</v>
      </c>
      <c r="AM82" s="186">
        <f t="shared" si="202"/>
        <v>24.4190395240119</v>
      </c>
      <c r="AN82" s="186">
        <f t="shared" si="203"/>
        <v>15.918081620494489</v>
      </c>
      <c r="AO82" s="186">
        <f t="shared" si="204"/>
        <v>38.492946708463947</v>
      </c>
      <c r="AP82" s="186">
        <f t="shared" si="204"/>
        <v>61.539961013645225</v>
      </c>
      <c r="AQ82" s="186">
        <f t="shared" si="205"/>
        <v>27.427906976744186</v>
      </c>
      <c r="AR82" s="186">
        <f t="shared" si="206"/>
        <v>21.372063492063493</v>
      </c>
      <c r="AS82" s="190">
        <f t="shared" si="207"/>
        <v>25.822485207100591</v>
      </c>
      <c r="AT82" s="186">
        <v>0</v>
      </c>
      <c r="AU82" s="183">
        <f t="shared" ref="AU82:CL82" si="208">IF(OR(AU80&lt;0.1,AU81&lt;0.1),0,AU81/AU80)</f>
        <v>0</v>
      </c>
      <c r="AV82" s="183">
        <f t="shared" si="208"/>
        <v>54.587127158555731</v>
      </c>
      <c r="AW82" s="183">
        <f t="shared" si="208"/>
        <v>35.20958751393534</v>
      </c>
      <c r="AX82" s="183">
        <f t="shared" si="208"/>
        <v>47.711261642675701</v>
      </c>
      <c r="AY82" s="183">
        <f t="shared" si="208"/>
        <v>41.233333333333334</v>
      </c>
      <c r="AZ82" s="183">
        <f t="shared" si="208"/>
        <v>0</v>
      </c>
      <c r="BA82" s="183">
        <f t="shared" si="208"/>
        <v>41.233333333333334</v>
      </c>
      <c r="BB82" s="183">
        <f t="shared" si="208"/>
        <v>26.000631711939356</v>
      </c>
      <c r="BC82" s="183">
        <f t="shared" si="208"/>
        <v>26.041490857946552</v>
      </c>
      <c r="BD82" s="183">
        <f t="shared" si="208"/>
        <v>36.382292732855682</v>
      </c>
      <c r="BE82" s="183">
        <f t="shared" si="208"/>
        <v>30.937134502923978</v>
      </c>
      <c r="BF82" s="188">
        <f t="shared" si="208"/>
        <v>23.262872628726289</v>
      </c>
      <c r="BG82" s="183">
        <f t="shared" si="208"/>
        <v>0</v>
      </c>
      <c r="BH82" s="183">
        <f t="shared" si="208"/>
        <v>0</v>
      </c>
      <c r="BI82" s="183">
        <f t="shared" si="208"/>
        <v>51.529629629629632</v>
      </c>
      <c r="BJ82" s="183">
        <f>IF(OR(BJ80&lt;0.1,BJ81&lt;0.1),0,BJ81/BJ80)</f>
        <v>44.128070175438594</v>
      </c>
      <c r="BK82" s="183">
        <f t="shared" si="208"/>
        <v>0</v>
      </c>
      <c r="BL82" s="183">
        <f t="shared" si="208"/>
        <v>0</v>
      </c>
      <c r="BM82" s="183">
        <f t="shared" si="208"/>
        <v>41.043338683788122</v>
      </c>
      <c r="BN82" s="183">
        <f t="shared" si="208"/>
        <v>38.710453283996301</v>
      </c>
      <c r="BO82" s="183">
        <f t="shared" si="208"/>
        <v>0</v>
      </c>
      <c r="BP82" s="183">
        <f t="shared" si="208"/>
        <v>38.715076071922546</v>
      </c>
      <c r="BQ82" s="183">
        <f t="shared" si="208"/>
        <v>71.066381156316922</v>
      </c>
      <c r="BR82" s="188">
        <f t="shared" si="208"/>
        <v>27.674394099051632</v>
      </c>
      <c r="BS82" s="183">
        <f t="shared" si="208"/>
        <v>0</v>
      </c>
      <c r="BT82" s="183">
        <f t="shared" si="208"/>
        <v>26.387942332896461</v>
      </c>
      <c r="BU82" s="183">
        <f t="shared" si="208"/>
        <v>26.300864100549884</v>
      </c>
      <c r="BV82" s="183">
        <f t="shared" si="208"/>
        <v>24.512778235779059</v>
      </c>
      <c r="BW82" s="183">
        <f t="shared" si="208"/>
        <v>31.536144578313252</v>
      </c>
      <c r="BX82" s="183">
        <f t="shared" si="208"/>
        <v>26.019664967225054</v>
      </c>
      <c r="BY82" s="183">
        <f t="shared" si="208"/>
        <v>44.515754560530681</v>
      </c>
      <c r="BZ82" s="183">
        <f t="shared" si="208"/>
        <v>35.826003824091778</v>
      </c>
      <c r="CA82" s="183">
        <f t="shared" si="208"/>
        <v>31.323265306122448</v>
      </c>
      <c r="CB82" s="188">
        <f t="shared" si="208"/>
        <v>27.662851196670136</v>
      </c>
      <c r="CC82" s="183">
        <f t="shared" si="208"/>
        <v>38.492946708463947</v>
      </c>
      <c r="CD82" s="183">
        <f t="shared" si="208"/>
        <v>61.539961013645225</v>
      </c>
      <c r="CE82" s="183">
        <f t="shared" si="208"/>
        <v>40.206477732793523</v>
      </c>
      <c r="CF82" s="183">
        <f t="shared" si="208"/>
        <v>0</v>
      </c>
      <c r="CG82" s="183">
        <f t="shared" si="208"/>
        <v>25.822485207100591</v>
      </c>
      <c r="CH82" s="183">
        <f t="shared" si="208"/>
        <v>24.4190395240119</v>
      </c>
      <c r="CI82" s="183">
        <f t="shared" si="208"/>
        <v>21.372063492063493</v>
      </c>
      <c r="CJ82" s="183">
        <f t="shared" si="208"/>
        <v>15.918081620494489</v>
      </c>
      <c r="CK82" s="184">
        <f t="shared" si="208"/>
        <v>27.427906976744186</v>
      </c>
      <c r="CL82" s="189">
        <f t="shared" si="208"/>
        <v>31.109890109890109</v>
      </c>
    </row>
    <row r="83" spans="1:90">
      <c r="A83" s="93">
        <f>ROWS($A$3:A81)</f>
        <v>79</v>
      </c>
      <c r="B83" s="106" t="s">
        <v>99</v>
      </c>
      <c r="C83" s="243"/>
      <c r="D83" s="314" t="s">
        <v>1</v>
      </c>
      <c r="E83" s="334"/>
      <c r="F83" s="157">
        <v>1.33</v>
      </c>
      <c r="G83" s="158">
        <v>1.1599999999999999</v>
      </c>
      <c r="H83" s="158">
        <v>1.08</v>
      </c>
      <c r="I83" s="159">
        <v>1.47</v>
      </c>
      <c r="J83" s="162"/>
      <c r="K83" s="157">
        <f t="shared" si="177"/>
        <v>1.58</v>
      </c>
      <c r="L83" s="158">
        <f t="shared" si="178"/>
        <v>0.79</v>
      </c>
      <c r="M83" s="158">
        <f t="shared" si="179"/>
        <v>1.7</v>
      </c>
      <c r="N83" s="158">
        <f t="shared" si="180"/>
        <v>1.21</v>
      </c>
      <c r="O83" s="158">
        <f t="shared" si="181"/>
        <v>1.64</v>
      </c>
      <c r="P83" s="158">
        <f>'2009'!AZ83+'2009'!BA83</f>
        <v>0.79</v>
      </c>
      <c r="Q83" s="158">
        <f>'2009'!AU83</f>
        <v>0</v>
      </c>
      <c r="R83" s="158">
        <f t="shared" si="182"/>
        <v>0.86</v>
      </c>
      <c r="S83" s="158">
        <f t="shared" si="183"/>
        <v>0.57999999999999996</v>
      </c>
      <c r="T83" s="158">
        <f t="shared" si="184"/>
        <v>2.04</v>
      </c>
      <c r="U83" s="160">
        <f t="shared" si="184"/>
        <v>2</v>
      </c>
      <c r="V83" s="158">
        <f t="shared" si="185"/>
        <v>0.83</v>
      </c>
      <c r="W83" s="158">
        <f t="shared" si="186"/>
        <v>0.93</v>
      </c>
      <c r="X83" s="158">
        <f t="shared" si="187"/>
        <v>1.19</v>
      </c>
      <c r="Y83" s="158">
        <f t="shared" si="188"/>
        <v>1.51</v>
      </c>
      <c r="Z83" s="158">
        <f t="shared" si="189"/>
        <v>1.47</v>
      </c>
      <c r="AA83" s="158">
        <f t="shared" si="190"/>
        <v>0.77</v>
      </c>
      <c r="AB83" s="160">
        <f t="shared" si="191"/>
        <v>0.74</v>
      </c>
      <c r="AC83" s="158">
        <f t="shared" si="192"/>
        <v>1.5</v>
      </c>
      <c r="AD83" s="158">
        <f t="shared" si="193"/>
        <v>0.82</v>
      </c>
      <c r="AE83" s="158">
        <f t="shared" si="194"/>
        <v>1.1599999999999999</v>
      </c>
      <c r="AF83" s="158">
        <f t="shared" si="195"/>
        <v>0.96</v>
      </c>
      <c r="AG83" s="158">
        <f t="shared" si="196"/>
        <v>0.8</v>
      </c>
      <c r="AH83" s="158">
        <f t="shared" si="197"/>
        <v>1.31</v>
      </c>
      <c r="AI83" s="158">
        <f t="shared" si="198"/>
        <v>1.1299999999999999</v>
      </c>
      <c r="AJ83" s="158">
        <f t="shared" si="199"/>
        <v>1.1200000000000001</v>
      </c>
      <c r="AK83" s="160">
        <f t="shared" si="200"/>
        <v>1.34</v>
      </c>
      <c r="AL83" s="158">
        <f t="shared" si="201"/>
        <v>0.94</v>
      </c>
      <c r="AM83" s="158">
        <f t="shared" si="202"/>
        <v>1.84</v>
      </c>
      <c r="AN83" s="158">
        <f t="shared" si="203"/>
        <v>2.0299999999999998</v>
      </c>
      <c r="AO83" s="158">
        <f t="shared" si="204"/>
        <v>0.99</v>
      </c>
      <c r="AP83" s="158">
        <f t="shared" si="204"/>
        <v>0.78</v>
      </c>
      <c r="AQ83" s="158">
        <f t="shared" si="205"/>
        <v>1.6</v>
      </c>
      <c r="AR83" s="158">
        <f t="shared" si="206"/>
        <v>1.52</v>
      </c>
      <c r="AS83" s="159">
        <f t="shared" si="207"/>
        <v>1.71</v>
      </c>
      <c r="AT83" s="162">
        <v>0</v>
      </c>
      <c r="AU83" s="162">
        <v>0</v>
      </c>
      <c r="AV83" s="162">
        <v>0.57999999999999996</v>
      </c>
      <c r="AW83" s="162">
        <v>1.21</v>
      </c>
      <c r="AX83" s="162">
        <v>0.86</v>
      </c>
      <c r="AY83" s="158">
        <v>0.79</v>
      </c>
      <c r="AZ83" s="158">
        <v>0</v>
      </c>
      <c r="BA83" s="158">
        <v>0.79</v>
      </c>
      <c r="BB83" s="158">
        <v>2.04</v>
      </c>
      <c r="BC83" s="158">
        <v>2</v>
      </c>
      <c r="BD83" s="158">
        <v>1.7</v>
      </c>
      <c r="BE83" s="158">
        <v>1.64</v>
      </c>
      <c r="BF83" s="160">
        <v>1.58</v>
      </c>
      <c r="BG83" s="158">
        <v>0</v>
      </c>
      <c r="BH83" s="158">
        <v>0</v>
      </c>
      <c r="BI83" s="158">
        <v>1.19</v>
      </c>
      <c r="BJ83" s="158">
        <v>0.83</v>
      </c>
      <c r="BK83" s="158">
        <v>0</v>
      </c>
      <c r="BL83" s="158">
        <v>0</v>
      </c>
      <c r="BM83" s="158">
        <v>1.47</v>
      </c>
      <c r="BN83" s="158">
        <v>1.51</v>
      </c>
      <c r="BO83" s="158">
        <v>0</v>
      </c>
      <c r="BP83" s="158">
        <v>0.74</v>
      </c>
      <c r="BQ83" s="158">
        <v>0.77</v>
      </c>
      <c r="BR83" s="160">
        <v>0.93</v>
      </c>
      <c r="BS83" s="158">
        <v>0</v>
      </c>
      <c r="BT83" s="158">
        <v>1.1599999999999999</v>
      </c>
      <c r="BU83" s="158">
        <v>0.82</v>
      </c>
      <c r="BV83" s="158">
        <v>0.8</v>
      </c>
      <c r="BW83" s="158">
        <v>1.1299999999999999</v>
      </c>
      <c r="BX83" s="158">
        <v>1.5</v>
      </c>
      <c r="BY83" s="158">
        <v>1.1200000000000001</v>
      </c>
      <c r="BZ83" s="158">
        <v>1.31</v>
      </c>
      <c r="CA83" s="158">
        <v>0.96</v>
      </c>
      <c r="CB83" s="160">
        <v>1.34</v>
      </c>
      <c r="CC83" s="158">
        <v>0.99</v>
      </c>
      <c r="CD83" s="158">
        <v>0.78</v>
      </c>
      <c r="CE83" s="158">
        <v>0.94</v>
      </c>
      <c r="CF83" s="158">
        <v>0</v>
      </c>
      <c r="CG83" s="158">
        <v>1.71</v>
      </c>
      <c r="CH83" s="158">
        <v>1.84</v>
      </c>
      <c r="CI83" s="158">
        <v>1.52</v>
      </c>
      <c r="CJ83" s="158">
        <v>2.0299999999999998</v>
      </c>
      <c r="CK83" s="159">
        <v>1.6</v>
      </c>
      <c r="CL83" s="161">
        <v>1.28</v>
      </c>
    </row>
    <row r="84" spans="1:90">
      <c r="A84" s="93">
        <f>ROWS($A$3:A82)</f>
        <v>80</v>
      </c>
      <c r="B84" s="106" t="s">
        <v>100</v>
      </c>
      <c r="C84" s="243"/>
      <c r="D84" s="314" t="s">
        <v>1</v>
      </c>
      <c r="E84" s="334"/>
      <c r="F84" s="157">
        <v>0.77</v>
      </c>
      <c r="G84" s="158">
        <v>0.68</v>
      </c>
      <c r="H84" s="158">
        <v>1.05</v>
      </c>
      <c r="I84" s="159">
        <v>1.23</v>
      </c>
      <c r="J84" s="162"/>
      <c r="K84" s="157">
        <f t="shared" si="177"/>
        <v>1.1599999999999999</v>
      </c>
      <c r="L84" s="158">
        <f t="shared" si="178"/>
        <v>0.64</v>
      </c>
      <c r="M84" s="158">
        <f t="shared" si="179"/>
        <v>0.56000000000000005</v>
      </c>
      <c r="N84" s="158">
        <f t="shared" si="180"/>
        <v>0.93</v>
      </c>
      <c r="O84" s="158">
        <f t="shared" si="181"/>
        <v>1.1100000000000001</v>
      </c>
      <c r="P84" s="158">
        <f>'2009'!AZ84+'2009'!BA84</f>
        <v>0.64</v>
      </c>
      <c r="Q84" s="158">
        <f>'2009'!AU84</f>
        <v>0</v>
      </c>
      <c r="R84" s="158">
        <f t="shared" si="182"/>
        <v>0.4</v>
      </c>
      <c r="S84" s="158">
        <f t="shared" si="183"/>
        <v>0.63</v>
      </c>
      <c r="T84" s="158">
        <f t="shared" si="184"/>
        <v>0.69</v>
      </c>
      <c r="U84" s="160">
        <f t="shared" si="184"/>
        <v>0.94</v>
      </c>
      <c r="V84" s="158">
        <f t="shared" si="185"/>
        <v>0.67</v>
      </c>
      <c r="W84" s="158">
        <f t="shared" si="186"/>
        <v>0.94</v>
      </c>
      <c r="X84" s="158">
        <f t="shared" si="187"/>
        <v>0.64</v>
      </c>
      <c r="Y84" s="158">
        <f t="shared" si="188"/>
        <v>0.79</v>
      </c>
      <c r="Z84" s="158">
        <f t="shared" si="189"/>
        <v>0.65</v>
      </c>
      <c r="AA84" s="158">
        <f t="shared" si="190"/>
        <v>0.5</v>
      </c>
      <c r="AB84" s="160">
        <f t="shared" si="191"/>
        <v>0.71</v>
      </c>
      <c r="AC84" s="158">
        <f t="shared" si="192"/>
        <v>1.38</v>
      </c>
      <c r="AD84" s="158">
        <f t="shared" si="193"/>
        <v>1.02</v>
      </c>
      <c r="AE84" s="158">
        <f t="shared" si="194"/>
        <v>1.43</v>
      </c>
      <c r="AF84" s="158">
        <f t="shared" si="195"/>
        <v>0.89</v>
      </c>
      <c r="AG84" s="158">
        <f t="shared" si="196"/>
        <v>0.94</v>
      </c>
      <c r="AH84" s="158">
        <f t="shared" si="197"/>
        <v>0.91</v>
      </c>
      <c r="AI84" s="158">
        <f t="shared" si="198"/>
        <v>0.91</v>
      </c>
      <c r="AJ84" s="158">
        <f t="shared" si="199"/>
        <v>0.96</v>
      </c>
      <c r="AK84" s="160">
        <f t="shared" si="200"/>
        <v>1</v>
      </c>
      <c r="AL84" s="158">
        <f t="shared" si="201"/>
        <v>0.94</v>
      </c>
      <c r="AM84" s="158">
        <f t="shared" si="202"/>
        <v>1.34</v>
      </c>
      <c r="AN84" s="158">
        <f t="shared" si="203"/>
        <v>2.21</v>
      </c>
      <c r="AO84" s="158">
        <f t="shared" si="204"/>
        <v>0.97</v>
      </c>
      <c r="AP84" s="158">
        <f t="shared" si="204"/>
        <v>0.54</v>
      </c>
      <c r="AQ84" s="158">
        <f t="shared" si="205"/>
        <v>1.06</v>
      </c>
      <c r="AR84" s="158">
        <f t="shared" si="206"/>
        <v>1.1599999999999999</v>
      </c>
      <c r="AS84" s="159">
        <f t="shared" si="207"/>
        <v>1</v>
      </c>
      <c r="AT84" s="162">
        <v>0</v>
      </c>
      <c r="AU84" s="162">
        <v>0</v>
      </c>
      <c r="AV84" s="162">
        <v>0.63</v>
      </c>
      <c r="AW84" s="162">
        <v>0.93</v>
      </c>
      <c r="AX84" s="162">
        <v>0.4</v>
      </c>
      <c r="AY84" s="158">
        <v>0.64</v>
      </c>
      <c r="AZ84" s="158">
        <v>0</v>
      </c>
      <c r="BA84" s="158">
        <v>0.64</v>
      </c>
      <c r="BB84" s="158">
        <v>0.69</v>
      </c>
      <c r="BC84" s="158">
        <v>0.94</v>
      </c>
      <c r="BD84" s="158">
        <v>0.56000000000000005</v>
      </c>
      <c r="BE84" s="158">
        <v>1.1100000000000001</v>
      </c>
      <c r="BF84" s="160">
        <v>1.1599999999999999</v>
      </c>
      <c r="BG84" s="158">
        <v>0</v>
      </c>
      <c r="BH84" s="158">
        <v>0</v>
      </c>
      <c r="BI84" s="158">
        <v>0.64</v>
      </c>
      <c r="BJ84" s="158">
        <v>0.67</v>
      </c>
      <c r="BK84" s="158">
        <v>0</v>
      </c>
      <c r="BL84" s="158">
        <v>0</v>
      </c>
      <c r="BM84" s="158">
        <v>0.65</v>
      </c>
      <c r="BN84" s="158">
        <v>0.79</v>
      </c>
      <c r="BO84" s="158">
        <v>0</v>
      </c>
      <c r="BP84" s="158">
        <v>0.71</v>
      </c>
      <c r="BQ84" s="158">
        <v>0.5</v>
      </c>
      <c r="BR84" s="160">
        <v>0.94</v>
      </c>
      <c r="BS84" s="158">
        <v>0</v>
      </c>
      <c r="BT84" s="158">
        <v>1.43</v>
      </c>
      <c r="BU84" s="158">
        <v>1.02</v>
      </c>
      <c r="BV84" s="158">
        <v>0.94</v>
      </c>
      <c r="BW84" s="158">
        <v>0.91</v>
      </c>
      <c r="BX84" s="158">
        <v>1.38</v>
      </c>
      <c r="BY84" s="158">
        <v>0.96</v>
      </c>
      <c r="BZ84" s="158">
        <v>0.91</v>
      </c>
      <c r="CA84" s="158">
        <v>0.89</v>
      </c>
      <c r="CB84" s="160">
        <v>1</v>
      </c>
      <c r="CC84" s="158">
        <v>0.97</v>
      </c>
      <c r="CD84" s="158">
        <v>0.54</v>
      </c>
      <c r="CE84" s="158">
        <v>0.94</v>
      </c>
      <c r="CF84" s="158">
        <v>0</v>
      </c>
      <c r="CG84" s="158">
        <v>1</v>
      </c>
      <c r="CH84" s="158">
        <v>1.34</v>
      </c>
      <c r="CI84" s="158">
        <v>1.1599999999999999</v>
      </c>
      <c r="CJ84" s="158">
        <v>2.21</v>
      </c>
      <c r="CK84" s="159">
        <v>1.06</v>
      </c>
      <c r="CL84" s="161">
        <v>0.96</v>
      </c>
    </row>
    <row r="85" spans="1:90">
      <c r="A85" s="93">
        <f>ROWS($A$3:A83)</f>
        <v>81</v>
      </c>
      <c r="B85" s="106" t="s">
        <v>101</v>
      </c>
      <c r="C85" s="243"/>
      <c r="D85" s="314" t="s">
        <v>1</v>
      </c>
      <c r="E85" s="334"/>
      <c r="F85" s="157">
        <v>0.08</v>
      </c>
      <c r="G85" s="158">
        <v>0.04</v>
      </c>
      <c r="H85" s="158">
        <v>0.09</v>
      </c>
      <c r="I85" s="159">
        <v>0.06</v>
      </c>
      <c r="J85" s="162"/>
      <c r="K85" s="157">
        <f t="shared" si="177"/>
        <v>0.01</v>
      </c>
      <c r="L85" s="158">
        <f t="shared" si="178"/>
        <v>0.09</v>
      </c>
      <c r="M85" s="158">
        <f t="shared" si="179"/>
        <v>7.0000000000000007E-2</v>
      </c>
      <c r="N85" s="158">
        <f t="shared" si="180"/>
        <v>0.01</v>
      </c>
      <c r="O85" s="158">
        <f t="shared" si="181"/>
        <v>0</v>
      </c>
      <c r="P85" s="158">
        <f>'2009'!AZ85+'2009'!BA85</f>
        <v>0.09</v>
      </c>
      <c r="Q85" s="158">
        <f>'2009'!AU85</f>
        <v>0</v>
      </c>
      <c r="R85" s="158">
        <f t="shared" si="182"/>
        <v>0.17</v>
      </c>
      <c r="S85" s="158">
        <f t="shared" si="183"/>
        <v>0.02</v>
      </c>
      <c r="T85" s="158">
        <f t="shared" si="184"/>
        <v>0.11</v>
      </c>
      <c r="U85" s="160">
        <f t="shared" si="184"/>
        <v>0</v>
      </c>
      <c r="V85" s="158">
        <f t="shared" si="185"/>
        <v>0.14000000000000001</v>
      </c>
      <c r="W85" s="158">
        <f t="shared" si="186"/>
        <v>0</v>
      </c>
      <c r="X85" s="158">
        <f t="shared" si="187"/>
        <v>7.0000000000000007E-2</v>
      </c>
      <c r="Y85" s="158">
        <f t="shared" si="188"/>
        <v>0.08</v>
      </c>
      <c r="Z85" s="158">
        <f t="shared" si="189"/>
        <v>0.02</v>
      </c>
      <c r="AA85" s="158">
        <f t="shared" si="190"/>
        <v>0.01</v>
      </c>
      <c r="AB85" s="160">
        <f t="shared" si="191"/>
        <v>0</v>
      </c>
      <c r="AC85" s="158">
        <f t="shared" si="192"/>
        <v>0</v>
      </c>
      <c r="AD85" s="158">
        <f t="shared" si="193"/>
        <v>0.15</v>
      </c>
      <c r="AE85" s="158">
        <f t="shared" si="194"/>
        <v>0.28000000000000003</v>
      </c>
      <c r="AF85" s="158">
        <f t="shared" si="195"/>
        <v>7.0000000000000007E-2</v>
      </c>
      <c r="AG85" s="158">
        <f t="shared" si="196"/>
        <v>0.23</v>
      </c>
      <c r="AH85" s="158">
        <f t="shared" si="197"/>
        <v>7.0000000000000007E-2</v>
      </c>
      <c r="AI85" s="158">
        <f t="shared" si="198"/>
        <v>0</v>
      </c>
      <c r="AJ85" s="158">
        <f t="shared" si="199"/>
        <v>0</v>
      </c>
      <c r="AK85" s="160">
        <f t="shared" si="200"/>
        <v>0.01</v>
      </c>
      <c r="AL85" s="158">
        <f t="shared" si="201"/>
        <v>0.01</v>
      </c>
      <c r="AM85" s="158">
        <f t="shared" si="202"/>
        <v>0.01</v>
      </c>
      <c r="AN85" s="158">
        <f t="shared" si="203"/>
        <v>0.05</v>
      </c>
      <c r="AO85" s="158">
        <f t="shared" si="204"/>
        <v>0</v>
      </c>
      <c r="AP85" s="158">
        <f t="shared" si="204"/>
        <v>0.01</v>
      </c>
      <c r="AQ85" s="158">
        <f t="shared" si="205"/>
        <v>0</v>
      </c>
      <c r="AR85" s="158">
        <f t="shared" si="206"/>
        <v>0.66</v>
      </c>
      <c r="AS85" s="159">
        <f t="shared" si="207"/>
        <v>0</v>
      </c>
      <c r="AT85" s="162">
        <v>0</v>
      </c>
      <c r="AU85" s="162">
        <v>0</v>
      </c>
      <c r="AV85" s="162">
        <v>0.02</v>
      </c>
      <c r="AW85" s="162">
        <v>0.01</v>
      </c>
      <c r="AX85" s="162">
        <v>0.17</v>
      </c>
      <c r="AY85" s="158">
        <v>0.09</v>
      </c>
      <c r="AZ85" s="158">
        <v>0</v>
      </c>
      <c r="BA85" s="158">
        <v>0.09</v>
      </c>
      <c r="BB85" s="158">
        <v>0.11</v>
      </c>
      <c r="BC85" s="158">
        <v>0</v>
      </c>
      <c r="BD85" s="158">
        <v>7.0000000000000007E-2</v>
      </c>
      <c r="BE85" s="158">
        <v>0</v>
      </c>
      <c r="BF85" s="160">
        <v>0.01</v>
      </c>
      <c r="BG85" s="158">
        <v>0</v>
      </c>
      <c r="BH85" s="158">
        <v>0</v>
      </c>
      <c r="BI85" s="158">
        <v>7.0000000000000007E-2</v>
      </c>
      <c r="BJ85" s="158">
        <v>0.14000000000000001</v>
      </c>
      <c r="BK85" s="158">
        <v>0</v>
      </c>
      <c r="BL85" s="158">
        <v>0</v>
      </c>
      <c r="BM85" s="158">
        <v>0.02</v>
      </c>
      <c r="BN85" s="158">
        <v>0.08</v>
      </c>
      <c r="BO85" s="158">
        <v>0</v>
      </c>
      <c r="BP85" s="158">
        <v>0</v>
      </c>
      <c r="BQ85" s="158">
        <v>0.01</v>
      </c>
      <c r="BR85" s="160">
        <v>0</v>
      </c>
      <c r="BS85" s="158">
        <v>0</v>
      </c>
      <c r="BT85" s="158">
        <v>0.28000000000000003</v>
      </c>
      <c r="BU85" s="158">
        <v>0.15</v>
      </c>
      <c r="BV85" s="158">
        <v>0.23</v>
      </c>
      <c r="BW85" s="158">
        <v>0</v>
      </c>
      <c r="BX85" s="158">
        <v>0</v>
      </c>
      <c r="BY85" s="158">
        <v>0</v>
      </c>
      <c r="BZ85" s="158">
        <v>7.0000000000000007E-2</v>
      </c>
      <c r="CA85" s="158">
        <v>7.0000000000000007E-2</v>
      </c>
      <c r="CB85" s="160">
        <v>0.01</v>
      </c>
      <c r="CC85" s="158">
        <v>0</v>
      </c>
      <c r="CD85" s="158">
        <v>0.01</v>
      </c>
      <c r="CE85" s="158">
        <v>0.01</v>
      </c>
      <c r="CF85" s="158">
        <v>0</v>
      </c>
      <c r="CG85" s="158">
        <v>0</v>
      </c>
      <c r="CH85" s="158">
        <v>0.01</v>
      </c>
      <c r="CI85" s="158">
        <v>0.66</v>
      </c>
      <c r="CJ85" s="158">
        <v>0.05</v>
      </c>
      <c r="CK85" s="159">
        <v>0</v>
      </c>
      <c r="CL85" s="161">
        <v>7.0000000000000007E-2</v>
      </c>
    </row>
    <row r="86" spans="1:90">
      <c r="A86" s="93">
        <f>ROWS($A$3:A84)</f>
        <v>82</v>
      </c>
      <c r="B86" s="67" t="s">
        <v>202</v>
      </c>
      <c r="C86" s="242">
        <v>2009</v>
      </c>
      <c r="D86" s="314"/>
      <c r="E86" s="333"/>
      <c r="F86" s="156"/>
      <c r="G86" s="177"/>
      <c r="H86" s="177"/>
      <c r="I86" s="178"/>
      <c r="J86" s="181"/>
      <c r="K86" s="156"/>
      <c r="L86" s="177"/>
      <c r="M86" s="177"/>
      <c r="N86" s="177"/>
      <c r="O86" s="177"/>
      <c r="P86" s="177"/>
      <c r="Q86" s="177"/>
      <c r="R86" s="181"/>
      <c r="S86" s="177"/>
      <c r="T86" s="177"/>
      <c r="U86" s="179"/>
      <c r="V86" s="177"/>
      <c r="W86" s="177"/>
      <c r="X86" s="177"/>
      <c r="Y86" s="177"/>
      <c r="Z86" s="177"/>
      <c r="AA86" s="177"/>
      <c r="AB86" s="179"/>
      <c r="AC86" s="177"/>
      <c r="AD86" s="177"/>
      <c r="AE86" s="177"/>
      <c r="AF86" s="177"/>
      <c r="AG86" s="177"/>
      <c r="AH86" s="177"/>
      <c r="AI86" s="177"/>
      <c r="AJ86" s="177"/>
      <c r="AK86" s="179"/>
      <c r="AL86" s="177"/>
      <c r="AM86" s="177"/>
      <c r="AN86" s="177"/>
      <c r="AO86" s="177"/>
      <c r="AP86" s="177"/>
      <c r="AQ86" s="177"/>
      <c r="AR86" s="177"/>
      <c r="AS86" s="178"/>
      <c r="AT86" s="181"/>
      <c r="AU86" s="177"/>
      <c r="AV86" s="177"/>
      <c r="AW86" s="177"/>
      <c r="AX86" s="177"/>
      <c r="AY86" s="177"/>
      <c r="AZ86" s="177"/>
      <c r="BA86" s="177"/>
      <c r="BB86" s="177"/>
      <c r="BC86" s="177"/>
      <c r="BD86" s="177"/>
      <c r="BE86" s="177"/>
      <c r="BF86" s="179"/>
      <c r="BG86" s="177"/>
      <c r="BH86" s="177"/>
      <c r="BI86" s="177"/>
      <c r="BJ86" s="177"/>
      <c r="BK86" s="177"/>
      <c r="BL86" s="177"/>
      <c r="BM86" s="177"/>
      <c r="BN86" s="177"/>
      <c r="BO86" s="177"/>
      <c r="BP86" s="177"/>
      <c r="BQ86" s="177"/>
      <c r="BR86" s="179"/>
      <c r="BS86" s="177"/>
      <c r="BT86" s="177"/>
      <c r="BU86" s="177"/>
      <c r="BV86" s="177"/>
      <c r="BW86" s="177"/>
      <c r="BX86" s="177"/>
      <c r="BY86" s="177"/>
      <c r="BZ86" s="177"/>
      <c r="CA86" s="177"/>
      <c r="CB86" s="179"/>
      <c r="CC86" s="177"/>
      <c r="CD86" s="177"/>
      <c r="CE86" s="177"/>
      <c r="CF86" s="177"/>
      <c r="CG86" s="177"/>
      <c r="CH86" s="177"/>
      <c r="CI86" s="177"/>
      <c r="CJ86" s="177"/>
      <c r="CK86" s="178"/>
      <c r="CL86" s="180"/>
    </row>
    <row r="87" spans="1:90">
      <c r="A87" s="93">
        <f>ROWS($A$3:A85)</f>
        <v>83</v>
      </c>
      <c r="B87" s="62" t="s">
        <v>200</v>
      </c>
      <c r="C87" s="330"/>
      <c r="D87" s="314" t="s">
        <v>267</v>
      </c>
      <c r="E87" s="316">
        <v>40680</v>
      </c>
      <c r="F87" s="191">
        <v>21087</v>
      </c>
      <c r="G87" s="191">
        <v>18406</v>
      </c>
      <c r="H87" s="191">
        <v>16091</v>
      </c>
      <c r="I87" s="192">
        <v>18647</v>
      </c>
      <c r="J87" s="347"/>
      <c r="K87" s="156">
        <f>BF87</f>
        <v>16310</v>
      </c>
      <c r="L87" s="177">
        <f>AY87</f>
        <v>26262</v>
      </c>
      <c r="M87" s="177">
        <f>BD87</f>
        <v>11510</v>
      </c>
      <c r="N87" s="177">
        <f>AW87</f>
        <v>17418</v>
      </c>
      <c r="O87" s="177">
        <f>BE87</f>
        <v>21375</v>
      </c>
      <c r="P87" s="183">
        <f>(AZ101*AZ87+BA101*BA87)/(AZ101+BA101)</f>
        <v>22686.79179331307</v>
      </c>
      <c r="Q87" s="177">
        <f>'2008'!AU87</f>
        <v>31866</v>
      </c>
      <c r="R87" s="183">
        <f>(AT101*AT87+AX101*AX87)/(AT101+AX101)</f>
        <v>42154.443349753696</v>
      </c>
      <c r="S87" s="177">
        <f>AV87</f>
        <v>31387</v>
      </c>
      <c r="T87" s="177">
        <f>BB87</f>
        <v>22369</v>
      </c>
      <c r="U87" s="179">
        <f>BC87</f>
        <v>17850</v>
      </c>
      <c r="V87" s="183">
        <f>(BG101*BG87+BJ101*BJ87)/(BG101+BJ101)</f>
        <v>27234.023255813954</v>
      </c>
      <c r="W87" s="177">
        <f>BR87</f>
        <v>13090</v>
      </c>
      <c r="X87" s="183">
        <f>(BH101*BH87+BI101*BI87)/(BH101+BI101)</f>
        <v>23588.757369614512</v>
      </c>
      <c r="Y87" s="183">
        <f>(BK101*BK87+BL101*BL87+BN101*BN87)/(BK101+BL101+BN101)</f>
        <v>42533.041666666664</v>
      </c>
      <c r="Z87" s="177">
        <f>BM87</f>
        <v>10007</v>
      </c>
      <c r="AA87" s="183">
        <f>(BO101*BO87+BQ101*BQ87)/(BO101+BQ101)</f>
        <v>17473.470588235294</v>
      </c>
      <c r="AB87" s="179">
        <f>BP87</f>
        <v>14216</v>
      </c>
      <c r="AC87" s="177">
        <f>BX87</f>
        <v>10877</v>
      </c>
      <c r="AD87" s="177">
        <f>BU87</f>
        <v>23642</v>
      </c>
      <c r="AE87" s="183">
        <f>(BS101*BS87+BT101*BT87)/(BS101+BT101)</f>
        <v>22754.666666666668</v>
      </c>
      <c r="AF87" s="177">
        <f>CA87</f>
        <v>14014</v>
      </c>
      <c r="AG87" s="177">
        <f>BV87</f>
        <v>19121</v>
      </c>
      <c r="AH87" s="177">
        <f>BZ87</f>
        <v>17167</v>
      </c>
      <c r="AI87" s="177">
        <f>BW87</f>
        <v>13026</v>
      </c>
      <c r="AJ87" s="177">
        <f>BY87</f>
        <v>8813</v>
      </c>
      <c r="AK87" s="179">
        <f>CB87</f>
        <v>12355</v>
      </c>
      <c r="AL87" s="177">
        <f>CE87</f>
        <v>11323</v>
      </c>
      <c r="AM87" s="177">
        <f>CH87</f>
        <v>21046</v>
      </c>
      <c r="AN87" s="177">
        <f>CJ87</f>
        <v>16921</v>
      </c>
      <c r="AO87" s="177">
        <f>CC87</f>
        <v>12648</v>
      </c>
      <c r="AP87" s="177">
        <f>CD87</f>
        <v>19004</v>
      </c>
      <c r="AQ87" s="177">
        <f>CK87</f>
        <v>12993</v>
      </c>
      <c r="AR87" s="177">
        <f>CI87</f>
        <v>23933</v>
      </c>
      <c r="AS87" s="184">
        <f>(CF101*CF87+CG101*CG87)/(CF101+CG101)</f>
        <v>22570.024390243903</v>
      </c>
      <c r="AT87" s="181">
        <v>124027</v>
      </c>
      <c r="AU87" s="191">
        <v>32981</v>
      </c>
      <c r="AV87" s="191">
        <v>31387</v>
      </c>
      <c r="AW87" s="191">
        <v>17418</v>
      </c>
      <c r="AX87" s="191">
        <v>33945</v>
      </c>
      <c r="AY87" s="191">
        <v>26262</v>
      </c>
      <c r="AZ87" s="191">
        <v>37446</v>
      </c>
      <c r="BA87" s="191">
        <v>21287</v>
      </c>
      <c r="BB87" s="191">
        <v>22369</v>
      </c>
      <c r="BC87" s="191">
        <v>17850</v>
      </c>
      <c r="BD87" s="191">
        <v>11510</v>
      </c>
      <c r="BE87" s="191">
        <v>21375</v>
      </c>
      <c r="BF87" s="193">
        <v>16310</v>
      </c>
      <c r="BG87" s="191">
        <v>44951</v>
      </c>
      <c r="BH87" s="191">
        <v>38722</v>
      </c>
      <c r="BI87" s="191">
        <v>22982</v>
      </c>
      <c r="BJ87" s="191">
        <v>23491</v>
      </c>
      <c r="BK87" s="191">
        <v>160738</v>
      </c>
      <c r="BL87" s="191">
        <v>53848</v>
      </c>
      <c r="BM87" s="191">
        <v>10007</v>
      </c>
      <c r="BN87" s="191">
        <v>32517</v>
      </c>
      <c r="BO87" s="191">
        <v>20957</v>
      </c>
      <c r="BP87" s="191">
        <v>14216</v>
      </c>
      <c r="BQ87" s="191">
        <v>17009</v>
      </c>
      <c r="BR87" s="193">
        <v>13090</v>
      </c>
      <c r="BS87" s="191">
        <v>27751</v>
      </c>
      <c r="BT87" s="191">
        <v>20833</v>
      </c>
      <c r="BU87" s="191">
        <v>23642</v>
      </c>
      <c r="BV87" s="191">
        <v>19121</v>
      </c>
      <c r="BW87" s="191">
        <v>13026</v>
      </c>
      <c r="BX87" s="191">
        <v>10877</v>
      </c>
      <c r="BY87" s="191">
        <v>8813</v>
      </c>
      <c r="BZ87" s="191">
        <v>17167</v>
      </c>
      <c r="CA87" s="191">
        <v>14014</v>
      </c>
      <c r="CB87" s="193">
        <v>12355</v>
      </c>
      <c r="CC87" s="191">
        <v>12648</v>
      </c>
      <c r="CD87" s="191">
        <v>19004</v>
      </c>
      <c r="CE87" s="191">
        <v>11323</v>
      </c>
      <c r="CF87" s="191">
        <v>58537</v>
      </c>
      <c r="CG87" s="191">
        <v>21046</v>
      </c>
      <c r="CH87" s="191">
        <v>21046</v>
      </c>
      <c r="CI87" s="191">
        <v>23933</v>
      </c>
      <c r="CJ87" s="191">
        <v>16921</v>
      </c>
      <c r="CK87" s="191">
        <v>12993</v>
      </c>
      <c r="CL87" s="180">
        <v>19012</v>
      </c>
    </row>
    <row r="88" spans="1:90">
      <c r="A88" s="93">
        <f>ROWS($A$3:A86)</f>
        <v>84</v>
      </c>
      <c r="B88" s="67" t="s">
        <v>203</v>
      </c>
      <c r="C88" s="242">
        <v>2009</v>
      </c>
      <c r="D88" s="314"/>
      <c r="E88" s="333"/>
      <c r="F88" s="156"/>
      <c r="G88" s="177"/>
      <c r="H88" s="177"/>
      <c r="I88" s="178"/>
      <c r="J88" s="181"/>
      <c r="K88" s="156"/>
      <c r="L88" s="177"/>
      <c r="M88" s="177"/>
      <c r="N88" s="177"/>
      <c r="O88" s="177"/>
      <c r="P88" s="177"/>
      <c r="Q88" s="177"/>
      <c r="R88" s="177"/>
      <c r="S88" s="177"/>
      <c r="T88" s="177"/>
      <c r="U88" s="179"/>
      <c r="V88" s="177"/>
      <c r="W88" s="177"/>
      <c r="X88" s="177"/>
      <c r="Y88" s="177"/>
      <c r="Z88" s="177"/>
      <c r="AA88" s="177"/>
      <c r="AB88" s="179"/>
      <c r="AC88" s="177"/>
      <c r="AD88" s="177"/>
      <c r="AE88" s="177"/>
      <c r="AF88" s="177"/>
      <c r="AG88" s="177"/>
      <c r="AH88" s="177"/>
      <c r="AI88" s="177"/>
      <c r="AJ88" s="177"/>
      <c r="AK88" s="179"/>
      <c r="AL88" s="177"/>
      <c r="AM88" s="177"/>
      <c r="AN88" s="177"/>
      <c r="AO88" s="177"/>
      <c r="AP88" s="177"/>
      <c r="AQ88" s="177"/>
      <c r="AR88" s="177"/>
      <c r="AS88" s="178"/>
      <c r="AT88" s="177"/>
      <c r="AU88" s="177"/>
      <c r="AV88" s="177"/>
      <c r="AW88" s="177"/>
      <c r="AX88" s="177"/>
      <c r="AY88" s="177"/>
      <c r="AZ88" s="177"/>
      <c r="BA88" s="177"/>
      <c r="BB88" s="177"/>
      <c r="BC88" s="177"/>
      <c r="BD88" s="177"/>
      <c r="BE88" s="177"/>
      <c r="BF88" s="179"/>
      <c r="BG88" s="177"/>
      <c r="BH88" s="177"/>
      <c r="BI88" s="177"/>
      <c r="BJ88" s="177"/>
      <c r="BK88" s="177"/>
      <c r="BL88" s="177"/>
      <c r="BM88" s="177"/>
      <c r="BN88" s="177"/>
      <c r="BO88" s="177"/>
      <c r="BP88" s="177"/>
      <c r="BQ88" s="177"/>
      <c r="BR88" s="179"/>
      <c r="BS88" s="177"/>
      <c r="BT88" s="177"/>
      <c r="BU88" s="177"/>
      <c r="BV88" s="177"/>
      <c r="BW88" s="177"/>
      <c r="BX88" s="177"/>
      <c r="BY88" s="177"/>
      <c r="BZ88" s="177"/>
      <c r="CA88" s="177"/>
      <c r="CB88" s="179"/>
      <c r="CC88" s="177"/>
      <c r="CD88" s="177"/>
      <c r="CE88" s="177"/>
      <c r="CF88" s="177"/>
      <c r="CG88" s="177"/>
      <c r="CH88" s="177"/>
      <c r="CI88" s="177"/>
      <c r="CJ88" s="177"/>
      <c r="CK88" s="178"/>
      <c r="CL88" s="180"/>
    </row>
    <row r="89" spans="1:90">
      <c r="A89" s="93">
        <f>ROWS($A$3:A87)</f>
        <v>85</v>
      </c>
      <c r="B89" s="106" t="s">
        <v>204</v>
      </c>
      <c r="C89" s="245"/>
      <c r="D89" s="314" t="s">
        <v>205</v>
      </c>
      <c r="E89" s="316">
        <v>40680</v>
      </c>
      <c r="F89" s="210">
        <v>70</v>
      </c>
      <c r="G89" s="213">
        <v>65.8</v>
      </c>
      <c r="H89" s="213">
        <v>63.3</v>
      </c>
      <c r="I89" s="214">
        <v>66.2</v>
      </c>
      <c r="J89" s="213"/>
      <c r="K89" s="210">
        <f>BF89</f>
        <v>66.5</v>
      </c>
      <c r="L89" s="211">
        <f>AY89</f>
        <v>60.9</v>
      </c>
      <c r="M89" s="211">
        <f>BD89</f>
        <v>68.400000000000006</v>
      </c>
      <c r="N89" s="211">
        <f>AW89</f>
        <v>65</v>
      </c>
      <c r="O89" s="211">
        <f>BE89</f>
        <v>66</v>
      </c>
      <c r="P89" s="211">
        <f>'2009'!BA89</f>
        <v>73.099999999999994</v>
      </c>
      <c r="Q89" s="211">
        <f>'2009'!AU89</f>
        <v>73.5</v>
      </c>
      <c r="R89" s="211">
        <f>AX89</f>
        <v>72.599999999999994</v>
      </c>
      <c r="S89" s="211">
        <f>AV89</f>
        <v>65.7</v>
      </c>
      <c r="T89" s="211">
        <f t="shared" ref="T89:U93" si="209">BB89</f>
        <v>75.3</v>
      </c>
      <c r="U89" s="212">
        <f t="shared" si="209"/>
        <v>71.099999999999994</v>
      </c>
      <c r="V89" s="211">
        <f>BJ89</f>
        <v>62.3</v>
      </c>
      <c r="W89" s="211">
        <f>BR89</f>
        <v>65.900000000000006</v>
      </c>
      <c r="X89" s="211">
        <f>BI89</f>
        <v>64.599999999999994</v>
      </c>
      <c r="Y89" s="211">
        <f>BN89</f>
        <v>67.099999999999994</v>
      </c>
      <c r="Z89" s="211">
        <f>BM89</f>
        <v>66.400000000000006</v>
      </c>
      <c r="AA89" s="211">
        <f>BQ89</f>
        <v>67.099999999999994</v>
      </c>
      <c r="AB89" s="212">
        <f>BP89</f>
        <v>63.4</v>
      </c>
      <c r="AC89" s="211">
        <f>BX89</f>
        <v>62.7</v>
      </c>
      <c r="AD89" s="211">
        <f>BU89</f>
        <v>58.7</v>
      </c>
      <c r="AE89" s="211">
        <f>BT89</f>
        <v>56.1</v>
      </c>
      <c r="AF89" s="211">
        <f>CA89</f>
        <v>62</v>
      </c>
      <c r="AG89" s="211">
        <f>BV89</f>
        <v>66.900000000000006</v>
      </c>
      <c r="AH89" s="211">
        <f>BZ89</f>
        <v>66.5</v>
      </c>
      <c r="AI89" s="211">
        <f>BW89</f>
        <v>66.900000000000006</v>
      </c>
      <c r="AJ89" s="211">
        <f>BY89</f>
        <v>60.8</v>
      </c>
      <c r="AK89" s="212">
        <f>CB89</f>
        <v>59.7</v>
      </c>
      <c r="AL89" s="211">
        <f>CE89</f>
        <v>63.1</v>
      </c>
      <c r="AM89" s="211">
        <f>CH89</f>
        <v>67.099999999999994</v>
      </c>
      <c r="AN89" s="211">
        <f>CJ89</f>
        <v>59</v>
      </c>
      <c r="AO89" s="211">
        <f t="shared" ref="AO89:AP93" si="210">CC89</f>
        <v>59.5</v>
      </c>
      <c r="AP89" s="211">
        <f t="shared" si="210"/>
        <v>67.2</v>
      </c>
      <c r="AQ89" s="211">
        <f>CK89</f>
        <v>66.3</v>
      </c>
      <c r="AR89" s="211">
        <f>CI89</f>
        <v>63</v>
      </c>
      <c r="AS89" s="214">
        <f>CG89</f>
        <v>70</v>
      </c>
      <c r="AT89" s="213">
        <v>0</v>
      </c>
      <c r="AU89" s="213">
        <v>73.5</v>
      </c>
      <c r="AV89" s="213">
        <v>65.7</v>
      </c>
      <c r="AW89" s="213">
        <v>65</v>
      </c>
      <c r="AX89" s="213">
        <v>72.599999999999994</v>
      </c>
      <c r="AY89" s="213">
        <v>60.9</v>
      </c>
      <c r="AZ89" s="211">
        <v>0</v>
      </c>
      <c r="BA89" s="213">
        <v>73.099999999999994</v>
      </c>
      <c r="BB89" s="213">
        <v>75.3</v>
      </c>
      <c r="BC89" s="213">
        <v>71.099999999999994</v>
      </c>
      <c r="BD89" s="213">
        <v>68.400000000000006</v>
      </c>
      <c r="BE89" s="213">
        <v>66</v>
      </c>
      <c r="BF89" s="212">
        <v>66.5</v>
      </c>
      <c r="BG89" s="211">
        <v>0</v>
      </c>
      <c r="BH89" s="211">
        <v>0</v>
      </c>
      <c r="BI89" s="213">
        <v>64.599999999999994</v>
      </c>
      <c r="BJ89" s="213">
        <v>62.3</v>
      </c>
      <c r="BK89" s="211">
        <v>0</v>
      </c>
      <c r="BL89" s="213">
        <v>0</v>
      </c>
      <c r="BM89" s="213">
        <v>66.400000000000006</v>
      </c>
      <c r="BN89" s="213">
        <v>67.099999999999994</v>
      </c>
      <c r="BO89" s="211">
        <v>0</v>
      </c>
      <c r="BP89" s="213">
        <v>63.4</v>
      </c>
      <c r="BQ89" s="213">
        <v>67.099999999999994</v>
      </c>
      <c r="BR89" s="212">
        <v>65.900000000000006</v>
      </c>
      <c r="BS89" s="211">
        <v>0</v>
      </c>
      <c r="BT89" s="213">
        <v>56.1</v>
      </c>
      <c r="BU89" s="213">
        <v>58.7</v>
      </c>
      <c r="BV89" s="213">
        <v>66.900000000000006</v>
      </c>
      <c r="BW89" s="213">
        <v>66.900000000000006</v>
      </c>
      <c r="BX89" s="213">
        <v>62.7</v>
      </c>
      <c r="BY89" s="213">
        <v>60.8</v>
      </c>
      <c r="BZ89" s="213">
        <v>66.5</v>
      </c>
      <c r="CA89" s="213">
        <v>62</v>
      </c>
      <c r="CB89" s="212">
        <v>59.7</v>
      </c>
      <c r="CC89" s="213">
        <v>59.5</v>
      </c>
      <c r="CD89" s="213">
        <v>67.2</v>
      </c>
      <c r="CE89" s="213">
        <v>63.1</v>
      </c>
      <c r="CF89" s="211">
        <v>0</v>
      </c>
      <c r="CG89" s="213">
        <v>70</v>
      </c>
      <c r="CH89" s="213">
        <v>67.099999999999994</v>
      </c>
      <c r="CI89" s="213">
        <v>63</v>
      </c>
      <c r="CJ89" s="213">
        <v>59</v>
      </c>
      <c r="CK89" s="214">
        <v>66.3</v>
      </c>
      <c r="CL89" s="215">
        <v>67.3</v>
      </c>
    </row>
    <row r="90" spans="1:90">
      <c r="A90" s="93">
        <f>ROWS($A$3:A88)</f>
        <v>86</v>
      </c>
      <c r="B90" s="106" t="s">
        <v>206</v>
      </c>
      <c r="C90" s="243"/>
      <c r="D90" s="314" t="s">
        <v>205</v>
      </c>
      <c r="E90" s="316">
        <v>40680</v>
      </c>
      <c r="F90" s="210">
        <v>741.2</v>
      </c>
      <c r="G90" s="213">
        <v>681.7</v>
      </c>
      <c r="H90" s="213">
        <v>628.1</v>
      </c>
      <c r="I90" s="214">
        <v>693.7</v>
      </c>
      <c r="J90" s="213"/>
      <c r="K90" s="210">
        <f>BF90</f>
        <v>0</v>
      </c>
      <c r="L90" s="211">
        <f>AY90</f>
        <v>744.3</v>
      </c>
      <c r="M90" s="211">
        <f>BD90</f>
        <v>736.8</v>
      </c>
      <c r="N90" s="211">
        <f>AW90</f>
        <v>0</v>
      </c>
      <c r="O90" s="211">
        <f>BE90</f>
        <v>0</v>
      </c>
      <c r="P90" s="211">
        <f>'2009'!BA90</f>
        <v>749.4</v>
      </c>
      <c r="Q90" s="211">
        <f>'2009'!AU90</f>
        <v>763.1</v>
      </c>
      <c r="R90" s="211">
        <f>AX90</f>
        <v>747.5</v>
      </c>
      <c r="S90" s="211">
        <f>AV90</f>
        <v>0</v>
      </c>
      <c r="T90" s="211">
        <f t="shared" si="209"/>
        <v>738</v>
      </c>
      <c r="U90" s="212">
        <f t="shared" si="209"/>
        <v>658.4</v>
      </c>
      <c r="V90" s="211">
        <f>BJ90</f>
        <v>0</v>
      </c>
      <c r="W90" s="211" t="str">
        <f>BR90</f>
        <v>*</v>
      </c>
      <c r="X90" s="211">
        <f>BI90</f>
        <v>687.3</v>
      </c>
      <c r="Y90" s="211">
        <f>BN90</f>
        <v>683.1</v>
      </c>
      <c r="Z90" s="211">
        <f>BM90</f>
        <v>709.6</v>
      </c>
      <c r="AA90" s="211">
        <f>BQ90</f>
        <v>566.20000000000005</v>
      </c>
      <c r="AB90" s="212">
        <f>BP90</f>
        <v>0</v>
      </c>
      <c r="AC90" s="211">
        <f>BX90</f>
        <v>0</v>
      </c>
      <c r="AD90" s="211">
        <f>BU90</f>
        <v>0</v>
      </c>
      <c r="AE90" s="211">
        <f>BT90</f>
        <v>0</v>
      </c>
      <c r="AF90" s="211" t="str">
        <f>CA90</f>
        <v>*</v>
      </c>
      <c r="AG90" s="211">
        <f>BV90</f>
        <v>0</v>
      </c>
      <c r="AH90" s="211">
        <f>BZ90</f>
        <v>0</v>
      </c>
      <c r="AI90" s="211">
        <f>BW90</f>
        <v>0</v>
      </c>
      <c r="AJ90" s="211" t="str">
        <f>BY90</f>
        <v>*</v>
      </c>
      <c r="AK90" s="212">
        <f>CB90</f>
        <v>0</v>
      </c>
      <c r="AL90" s="211" t="str">
        <f>CE90</f>
        <v>*</v>
      </c>
      <c r="AM90" s="211">
        <f>CH90</f>
        <v>706.3</v>
      </c>
      <c r="AN90" s="211">
        <f>CJ90</f>
        <v>0</v>
      </c>
      <c r="AO90" s="211">
        <f t="shared" si="210"/>
        <v>0</v>
      </c>
      <c r="AP90" s="211">
        <f t="shared" si="210"/>
        <v>716</v>
      </c>
      <c r="AQ90" s="211" t="str">
        <f>CK90</f>
        <v>*</v>
      </c>
      <c r="AR90" s="211">
        <f>CI90</f>
        <v>0</v>
      </c>
      <c r="AS90" s="214">
        <f>CG90</f>
        <v>664</v>
      </c>
      <c r="AT90" s="213">
        <v>0</v>
      </c>
      <c r="AU90" s="213">
        <v>763.1</v>
      </c>
      <c r="AV90" s="213">
        <v>0</v>
      </c>
      <c r="AW90" s="213">
        <v>0</v>
      </c>
      <c r="AX90" s="213">
        <v>747.5</v>
      </c>
      <c r="AY90" s="213">
        <v>744.3</v>
      </c>
      <c r="AZ90" s="211">
        <v>0</v>
      </c>
      <c r="BA90" s="213">
        <v>749.4</v>
      </c>
      <c r="BB90" s="213">
        <v>738</v>
      </c>
      <c r="BC90" s="213">
        <v>658.4</v>
      </c>
      <c r="BD90" s="213">
        <v>736.8</v>
      </c>
      <c r="BE90" s="211">
        <v>0</v>
      </c>
      <c r="BF90" s="212">
        <v>0</v>
      </c>
      <c r="BG90" s="211" t="s">
        <v>252</v>
      </c>
      <c r="BH90" s="211">
        <v>0</v>
      </c>
      <c r="BI90" s="213">
        <v>687.3</v>
      </c>
      <c r="BJ90" s="213">
        <v>0</v>
      </c>
      <c r="BK90" s="211">
        <v>0</v>
      </c>
      <c r="BL90" s="213">
        <v>0</v>
      </c>
      <c r="BM90" s="213">
        <v>709.6</v>
      </c>
      <c r="BN90" s="213">
        <v>683.1</v>
      </c>
      <c r="BO90" s="211" t="s">
        <v>252</v>
      </c>
      <c r="BP90" s="211">
        <v>0</v>
      </c>
      <c r="BQ90" s="211">
        <v>566.20000000000005</v>
      </c>
      <c r="BR90" s="212" t="s">
        <v>252</v>
      </c>
      <c r="BS90" s="211">
        <v>0</v>
      </c>
      <c r="BT90" s="213">
        <v>0</v>
      </c>
      <c r="BU90" s="213">
        <v>0</v>
      </c>
      <c r="BV90" s="213">
        <v>0</v>
      </c>
      <c r="BW90" s="213">
        <v>0</v>
      </c>
      <c r="BX90" s="213">
        <v>0</v>
      </c>
      <c r="BY90" s="213" t="s">
        <v>252</v>
      </c>
      <c r="BZ90" s="213">
        <v>0</v>
      </c>
      <c r="CA90" s="213" t="s">
        <v>252</v>
      </c>
      <c r="CB90" s="212">
        <v>0</v>
      </c>
      <c r="CC90" s="213">
        <v>0</v>
      </c>
      <c r="CD90" s="213">
        <v>716</v>
      </c>
      <c r="CE90" s="213" t="s">
        <v>252</v>
      </c>
      <c r="CF90" s="211">
        <v>0</v>
      </c>
      <c r="CG90" s="213">
        <v>664</v>
      </c>
      <c r="CH90" s="213">
        <v>706.3</v>
      </c>
      <c r="CI90" s="211">
        <v>0</v>
      </c>
      <c r="CJ90" s="213">
        <v>0</v>
      </c>
      <c r="CK90" s="214" t="s">
        <v>252</v>
      </c>
      <c r="CL90" s="229">
        <v>727.2</v>
      </c>
    </row>
    <row r="91" spans="1:90">
      <c r="A91" s="93">
        <f>ROWS($A$3:A89)</f>
        <v>87</v>
      </c>
      <c r="B91" s="106" t="s">
        <v>207</v>
      </c>
      <c r="C91" s="243"/>
      <c r="D91" s="314" t="s">
        <v>205</v>
      </c>
      <c r="E91" s="316">
        <v>40680</v>
      </c>
      <c r="F91" s="210">
        <v>42.8</v>
      </c>
      <c r="G91" s="211">
        <v>42.6</v>
      </c>
      <c r="H91" s="211">
        <v>41.8</v>
      </c>
      <c r="I91" s="214">
        <v>39.6</v>
      </c>
      <c r="J91" s="213"/>
      <c r="K91" s="210">
        <f>BF91</f>
        <v>41.9</v>
      </c>
      <c r="L91" s="211">
        <f>AY91</f>
        <v>39.799999999999997</v>
      </c>
      <c r="M91" s="211">
        <f>BD91</f>
        <v>42.2</v>
      </c>
      <c r="N91" s="211">
        <f>AW91</f>
        <v>44.1</v>
      </c>
      <c r="O91" s="211">
        <f>BE91</f>
        <v>37</v>
      </c>
      <c r="P91" s="211">
        <f>'2009'!BA91</f>
        <v>46</v>
      </c>
      <c r="Q91" s="211">
        <f>'2009'!AU91</f>
        <v>45.8</v>
      </c>
      <c r="R91" s="211">
        <f>AX91</f>
        <v>45.8</v>
      </c>
      <c r="S91" s="211">
        <f>AV91</f>
        <v>44.5</v>
      </c>
      <c r="T91" s="211">
        <f t="shared" si="209"/>
        <v>41.8</v>
      </c>
      <c r="U91" s="212">
        <f t="shared" si="209"/>
        <v>42.4</v>
      </c>
      <c r="V91" s="211">
        <f>BJ91</f>
        <v>45.2</v>
      </c>
      <c r="W91" s="211">
        <f>BR91</f>
        <v>40.700000000000003</v>
      </c>
      <c r="X91" s="211">
        <f>BI91</f>
        <v>43.2</v>
      </c>
      <c r="Y91" s="211">
        <f>BN91</f>
        <v>39.6</v>
      </c>
      <c r="Z91" s="211">
        <f>BM91</f>
        <v>43.5</v>
      </c>
      <c r="AA91" s="211">
        <f>BQ91</f>
        <v>43.5</v>
      </c>
      <c r="AB91" s="212">
        <f>BP91</f>
        <v>43.7</v>
      </c>
      <c r="AC91" s="211">
        <f>BX91</f>
        <v>45.8</v>
      </c>
      <c r="AD91" s="211">
        <f>BU91</f>
        <v>0</v>
      </c>
      <c r="AE91" s="211">
        <f>BT91</f>
        <v>40.5</v>
      </c>
      <c r="AF91" s="211">
        <f>CA91</f>
        <v>0</v>
      </c>
      <c r="AG91" s="211">
        <f>BV91</f>
        <v>39.9</v>
      </c>
      <c r="AH91" s="211">
        <f>BZ91</f>
        <v>39.1</v>
      </c>
      <c r="AI91" s="211">
        <f>BW91</f>
        <v>42.8</v>
      </c>
      <c r="AJ91" s="211">
        <f>BY91</f>
        <v>41.6</v>
      </c>
      <c r="AK91" s="212">
        <f>CB91</f>
        <v>36.299999999999997</v>
      </c>
      <c r="AL91" s="211">
        <f>CE91</f>
        <v>36.6</v>
      </c>
      <c r="AM91" s="211">
        <f>CH91</f>
        <v>39.700000000000003</v>
      </c>
      <c r="AN91" s="211">
        <f>CJ91</f>
        <v>33.9</v>
      </c>
      <c r="AO91" s="211">
        <f t="shared" si="210"/>
        <v>37.6</v>
      </c>
      <c r="AP91" s="211">
        <f t="shared" si="210"/>
        <v>42.1</v>
      </c>
      <c r="AQ91" s="211">
        <f>CK91</f>
        <v>40.700000000000003</v>
      </c>
      <c r="AR91" s="211">
        <f>CI91</f>
        <v>38.5</v>
      </c>
      <c r="AS91" s="214">
        <f>CG91</f>
        <v>40.5</v>
      </c>
      <c r="AT91" s="213">
        <v>0</v>
      </c>
      <c r="AU91" s="213">
        <v>45.8</v>
      </c>
      <c r="AV91" s="213">
        <v>44.5</v>
      </c>
      <c r="AW91" s="213">
        <v>44.1</v>
      </c>
      <c r="AX91" s="211">
        <v>45.8</v>
      </c>
      <c r="AY91" s="213">
        <v>39.799999999999997</v>
      </c>
      <c r="AZ91" s="211">
        <v>0</v>
      </c>
      <c r="BA91" s="213">
        <v>46</v>
      </c>
      <c r="BB91" s="213">
        <v>41.8</v>
      </c>
      <c r="BC91" s="213">
        <v>42.4</v>
      </c>
      <c r="BD91" s="213">
        <v>42.2</v>
      </c>
      <c r="BE91" s="213">
        <v>37</v>
      </c>
      <c r="BF91" s="212">
        <v>41.9</v>
      </c>
      <c r="BG91" s="211">
        <v>0</v>
      </c>
      <c r="BH91" s="211">
        <v>0</v>
      </c>
      <c r="BI91" s="213">
        <v>43.2</v>
      </c>
      <c r="BJ91" s="213">
        <v>45.2</v>
      </c>
      <c r="BK91" s="211">
        <v>0</v>
      </c>
      <c r="BL91" s="213">
        <v>0</v>
      </c>
      <c r="BM91" s="211">
        <v>43.5</v>
      </c>
      <c r="BN91" s="211">
        <v>39.6</v>
      </c>
      <c r="BO91" s="211">
        <v>0</v>
      </c>
      <c r="BP91" s="213">
        <v>43.7</v>
      </c>
      <c r="BQ91" s="211">
        <v>43.5</v>
      </c>
      <c r="BR91" s="212">
        <v>40.700000000000003</v>
      </c>
      <c r="BS91" s="211" t="s">
        <v>252</v>
      </c>
      <c r="BT91" s="213">
        <v>40.5</v>
      </c>
      <c r="BU91" s="211">
        <v>0</v>
      </c>
      <c r="BV91" s="213">
        <v>39.9</v>
      </c>
      <c r="BW91" s="213">
        <v>42.8</v>
      </c>
      <c r="BX91" s="213">
        <v>45.8</v>
      </c>
      <c r="BY91" s="213">
        <v>41.6</v>
      </c>
      <c r="BZ91" s="213">
        <v>39.1</v>
      </c>
      <c r="CA91" s="211">
        <v>0</v>
      </c>
      <c r="CB91" s="212">
        <v>36.299999999999997</v>
      </c>
      <c r="CC91" s="213">
        <v>37.6</v>
      </c>
      <c r="CD91" s="213">
        <v>42.1</v>
      </c>
      <c r="CE91" s="213">
        <v>36.6</v>
      </c>
      <c r="CF91" s="211">
        <v>0</v>
      </c>
      <c r="CG91" s="213">
        <v>40.5</v>
      </c>
      <c r="CH91" s="213">
        <v>39.700000000000003</v>
      </c>
      <c r="CI91" s="213">
        <v>38.5</v>
      </c>
      <c r="CJ91" s="213">
        <v>33.9</v>
      </c>
      <c r="CK91" s="214">
        <v>40.700000000000003</v>
      </c>
      <c r="CL91" s="229">
        <v>41.8</v>
      </c>
    </row>
    <row r="92" spans="1:90">
      <c r="A92" s="93">
        <f>ROWS($A$3:A90)</f>
        <v>88</v>
      </c>
      <c r="B92" s="106" t="s">
        <v>208</v>
      </c>
      <c r="C92" s="243"/>
      <c r="D92" s="314" t="s">
        <v>205</v>
      </c>
      <c r="E92" s="316">
        <v>40680</v>
      </c>
      <c r="F92" s="210">
        <v>490</v>
      </c>
      <c r="G92" s="213">
        <v>485.6</v>
      </c>
      <c r="H92" s="213">
        <v>475</v>
      </c>
      <c r="I92" s="214">
        <v>483.9</v>
      </c>
      <c r="J92" s="213"/>
      <c r="K92" s="210">
        <f>BF92</f>
        <v>469.5</v>
      </c>
      <c r="L92" s="211">
        <f>AY92</f>
        <v>469.8</v>
      </c>
      <c r="M92" s="211">
        <f>BD92</f>
        <v>498.9</v>
      </c>
      <c r="N92" s="211">
        <f>AW92</f>
        <v>574</v>
      </c>
      <c r="O92" s="211">
        <f>BE92</f>
        <v>488.3</v>
      </c>
      <c r="P92" s="211">
        <f>'2009'!BA92</f>
        <v>478.1</v>
      </c>
      <c r="Q92" s="211">
        <f>'2009'!AU92</f>
        <v>476.4</v>
      </c>
      <c r="R92" s="211">
        <f>AX92</f>
        <v>550.29999999999995</v>
      </c>
      <c r="S92" s="211">
        <f>AV92</f>
        <v>536.6</v>
      </c>
      <c r="T92" s="211">
        <f t="shared" si="209"/>
        <v>486.4</v>
      </c>
      <c r="U92" s="212">
        <f t="shared" si="209"/>
        <v>457.5</v>
      </c>
      <c r="V92" s="211">
        <f>BJ92</f>
        <v>434.6</v>
      </c>
      <c r="W92" s="211">
        <f>BR92</f>
        <v>517.9</v>
      </c>
      <c r="X92" s="211">
        <f>BI92</f>
        <v>483.4</v>
      </c>
      <c r="Y92" s="211">
        <f>BN92</f>
        <v>473.3</v>
      </c>
      <c r="Z92" s="211">
        <f>BM92</f>
        <v>472.1</v>
      </c>
      <c r="AA92" s="211">
        <f>BQ92</f>
        <v>509.2</v>
      </c>
      <c r="AB92" s="212">
        <f>BP92</f>
        <v>509</v>
      </c>
      <c r="AC92" s="211">
        <f>BX92</f>
        <v>485.2</v>
      </c>
      <c r="AD92" s="211">
        <f>BU92</f>
        <v>0</v>
      </c>
      <c r="AE92" s="211">
        <f>BT92</f>
        <v>457.1</v>
      </c>
      <c r="AF92" s="211">
        <f>CA92</f>
        <v>475.7</v>
      </c>
      <c r="AG92" s="211">
        <f>BV92</f>
        <v>477.5</v>
      </c>
      <c r="AH92" s="211">
        <f>BZ92</f>
        <v>472.5</v>
      </c>
      <c r="AI92" s="211">
        <f>BW92</f>
        <v>468.5</v>
      </c>
      <c r="AJ92" s="211">
        <f>BY92</f>
        <v>469.2</v>
      </c>
      <c r="AK92" s="212">
        <f>CB92</f>
        <v>489.2</v>
      </c>
      <c r="AL92" s="211">
        <f>CE92</f>
        <v>462.2</v>
      </c>
      <c r="AM92" s="211">
        <f>CH92</f>
        <v>522.70000000000005</v>
      </c>
      <c r="AN92" s="211">
        <f>CJ92</f>
        <v>429.8</v>
      </c>
      <c r="AO92" s="211">
        <f t="shared" si="210"/>
        <v>441.3</v>
      </c>
      <c r="AP92" s="211">
        <f t="shared" si="210"/>
        <v>466.7</v>
      </c>
      <c r="AQ92" s="211">
        <f>CK92</f>
        <v>482.2</v>
      </c>
      <c r="AR92" s="211">
        <f>CI92</f>
        <v>507.9</v>
      </c>
      <c r="AS92" s="214">
        <f>CG92</f>
        <v>502.6</v>
      </c>
      <c r="AT92" s="213">
        <v>0</v>
      </c>
      <c r="AU92" s="213">
        <v>476.4</v>
      </c>
      <c r="AV92" s="213">
        <v>536.6</v>
      </c>
      <c r="AW92" s="213">
        <v>574</v>
      </c>
      <c r="AX92" s="213">
        <v>550.29999999999995</v>
      </c>
      <c r="AY92" s="213">
        <v>469.8</v>
      </c>
      <c r="AZ92" s="211">
        <v>0</v>
      </c>
      <c r="BA92" s="213">
        <v>478.1</v>
      </c>
      <c r="BB92" s="213">
        <v>486.4</v>
      </c>
      <c r="BC92" s="213">
        <v>457.5</v>
      </c>
      <c r="BD92" s="213">
        <v>498.9</v>
      </c>
      <c r="BE92" s="213">
        <v>488.3</v>
      </c>
      <c r="BF92" s="212">
        <v>469.5</v>
      </c>
      <c r="BG92" s="211">
        <v>0</v>
      </c>
      <c r="BH92" s="211">
        <v>0</v>
      </c>
      <c r="BI92" s="213">
        <v>483.4</v>
      </c>
      <c r="BJ92" s="213">
        <v>434.6</v>
      </c>
      <c r="BK92" s="211">
        <v>0</v>
      </c>
      <c r="BL92" s="213">
        <v>0</v>
      </c>
      <c r="BM92" s="213">
        <v>472.1</v>
      </c>
      <c r="BN92" s="213">
        <v>473.3</v>
      </c>
      <c r="BO92" s="211">
        <v>0</v>
      </c>
      <c r="BP92" s="213">
        <v>509</v>
      </c>
      <c r="BQ92" s="213">
        <v>509.2</v>
      </c>
      <c r="BR92" s="212">
        <v>517.9</v>
      </c>
      <c r="BS92" s="211">
        <v>0</v>
      </c>
      <c r="BT92" s="213">
        <v>457.1</v>
      </c>
      <c r="BU92" s="211">
        <v>0</v>
      </c>
      <c r="BV92" s="213">
        <v>477.5</v>
      </c>
      <c r="BW92" s="213">
        <v>468.5</v>
      </c>
      <c r="BX92" s="213">
        <v>485.2</v>
      </c>
      <c r="BY92" s="213">
        <v>469.2</v>
      </c>
      <c r="BZ92" s="213">
        <v>472.5</v>
      </c>
      <c r="CA92" s="213">
        <v>475.7</v>
      </c>
      <c r="CB92" s="212">
        <v>489.2</v>
      </c>
      <c r="CC92" s="213">
        <v>441.3</v>
      </c>
      <c r="CD92" s="213">
        <v>466.7</v>
      </c>
      <c r="CE92" s="213">
        <v>462.2</v>
      </c>
      <c r="CF92" s="211" t="s">
        <v>252</v>
      </c>
      <c r="CG92" s="213">
        <v>502.6</v>
      </c>
      <c r="CH92" s="213">
        <v>522.70000000000005</v>
      </c>
      <c r="CI92" s="213">
        <v>507.9</v>
      </c>
      <c r="CJ92" s="213">
        <v>429.8</v>
      </c>
      <c r="CK92" s="214">
        <v>482.2</v>
      </c>
      <c r="CL92" s="229">
        <v>484.4</v>
      </c>
    </row>
    <row r="93" spans="1:90">
      <c r="A93" s="93">
        <f>ROWS($A$3:A91)</f>
        <v>89</v>
      </c>
      <c r="B93" s="237" t="s">
        <v>105</v>
      </c>
      <c r="C93" s="340"/>
      <c r="D93" s="335" t="s">
        <v>4</v>
      </c>
      <c r="E93" s="336"/>
      <c r="F93" s="156">
        <v>60</v>
      </c>
      <c r="G93" s="177">
        <v>37</v>
      </c>
      <c r="H93" s="177">
        <v>69</v>
      </c>
      <c r="I93" s="178">
        <v>54</v>
      </c>
      <c r="J93" s="181"/>
      <c r="K93" s="156">
        <f>BF93</f>
        <v>97</v>
      </c>
      <c r="L93" s="177">
        <f>AY93</f>
        <v>64</v>
      </c>
      <c r="M93" s="177">
        <f>BD93</f>
        <v>66</v>
      </c>
      <c r="N93" s="177">
        <f>AW93</f>
        <v>75</v>
      </c>
      <c r="O93" s="177">
        <f>BE93</f>
        <v>52</v>
      </c>
      <c r="P93" s="183">
        <f>(AZ35*AZ93+BA35*BA93)/P35</f>
        <v>7.432921350219555</v>
      </c>
      <c r="Q93" s="177">
        <f>'2009'!AU93</f>
        <v>51</v>
      </c>
      <c r="R93" s="183">
        <f>(AT35*AT93+AX35*AX93)/R35</f>
        <v>0</v>
      </c>
      <c r="S93" s="177">
        <f>AV93</f>
        <v>59</v>
      </c>
      <c r="T93" s="177">
        <f t="shared" si="209"/>
        <v>51</v>
      </c>
      <c r="U93" s="179">
        <f t="shared" si="209"/>
        <v>93</v>
      </c>
      <c r="V93" s="183">
        <f>(BG35*BG93+BJ35*BJ93)/V35</f>
        <v>17.984657039711191</v>
      </c>
      <c r="W93" s="177">
        <f>BR93</f>
        <v>82</v>
      </c>
      <c r="X93" s="183">
        <f>(BH35*BH93+BI35*BI93)/X35</f>
        <v>3.736710631494804</v>
      </c>
      <c r="Y93" s="183">
        <f>(BK35*BK93+BL35*BL93+BN35*BN93)/Y35</f>
        <v>6.2961604531315292</v>
      </c>
      <c r="Z93" s="177">
        <f>BM93</f>
        <v>65</v>
      </c>
      <c r="AA93" s="183">
        <f>(BO35*BO93+BQ35*BQ93)/AA35</f>
        <v>41.917907484613856</v>
      </c>
      <c r="AB93" s="179">
        <f>BP93</f>
        <v>74</v>
      </c>
      <c r="AC93" s="177">
        <f>BX93</f>
        <v>96</v>
      </c>
      <c r="AD93" s="177">
        <f>BU93</f>
        <v>46</v>
      </c>
      <c r="AE93" s="183">
        <f>(BS35*BS93+BT35*BT93)/AE35</f>
        <v>48.061084445777709</v>
      </c>
      <c r="AF93" s="177">
        <f>CA93</f>
        <v>57</v>
      </c>
      <c r="AG93" s="177">
        <f>BV93</f>
        <v>38</v>
      </c>
      <c r="AH93" s="177">
        <f>BZ93</f>
        <v>59</v>
      </c>
      <c r="AI93" s="177">
        <f>BW93</f>
        <v>100</v>
      </c>
      <c r="AJ93" s="177">
        <f>BY93</f>
        <v>100</v>
      </c>
      <c r="AK93" s="179">
        <f>CB93</f>
        <v>100</v>
      </c>
      <c r="AL93" s="177">
        <f>CE93</f>
        <v>98</v>
      </c>
      <c r="AM93" s="177">
        <f>CH93</f>
        <v>15</v>
      </c>
      <c r="AN93" s="177">
        <f>CJ93</f>
        <v>58</v>
      </c>
      <c r="AO93" s="177">
        <f t="shared" si="210"/>
        <v>98</v>
      </c>
      <c r="AP93" s="177">
        <f t="shared" si="210"/>
        <v>53</v>
      </c>
      <c r="AQ93" s="177">
        <f>CK93</f>
        <v>73</v>
      </c>
      <c r="AR93" s="177">
        <f>CI93</f>
        <v>26</v>
      </c>
      <c r="AS93" s="184">
        <f>(CF35*CF93+CG35*CG93)/AS35</f>
        <v>41.794570598431285</v>
      </c>
      <c r="AT93" s="181">
        <v>0</v>
      </c>
      <c r="AU93" s="181">
        <v>51</v>
      </c>
      <c r="AV93" s="181">
        <v>59</v>
      </c>
      <c r="AW93" s="181">
        <v>75</v>
      </c>
      <c r="AX93" s="177">
        <v>0</v>
      </c>
      <c r="AY93" s="177">
        <v>64</v>
      </c>
      <c r="AZ93" s="177">
        <v>0</v>
      </c>
      <c r="BA93" s="177">
        <v>8</v>
      </c>
      <c r="BB93" s="177">
        <v>51</v>
      </c>
      <c r="BC93" s="177">
        <v>93</v>
      </c>
      <c r="BD93" s="177">
        <v>66</v>
      </c>
      <c r="BE93" s="177">
        <v>52</v>
      </c>
      <c r="BF93" s="179">
        <v>97</v>
      </c>
      <c r="BG93" s="177">
        <v>69</v>
      </c>
      <c r="BH93" s="177">
        <v>0</v>
      </c>
      <c r="BI93" s="177">
        <v>4</v>
      </c>
      <c r="BJ93" s="177">
        <v>12</v>
      </c>
      <c r="BK93" s="177">
        <v>1</v>
      </c>
      <c r="BL93" s="177">
        <v>0</v>
      </c>
      <c r="BM93" s="177">
        <v>65</v>
      </c>
      <c r="BN93" s="177">
        <v>7</v>
      </c>
      <c r="BO93" s="177">
        <v>21</v>
      </c>
      <c r="BP93" s="177">
        <v>74</v>
      </c>
      <c r="BQ93" s="177">
        <v>43</v>
      </c>
      <c r="BR93" s="179">
        <v>82</v>
      </c>
      <c r="BS93" s="177">
        <v>21</v>
      </c>
      <c r="BT93" s="177">
        <v>50</v>
      </c>
      <c r="BU93" s="177">
        <v>46</v>
      </c>
      <c r="BV93" s="177">
        <v>38</v>
      </c>
      <c r="BW93" s="177">
        <v>100</v>
      </c>
      <c r="BX93" s="177">
        <v>96</v>
      </c>
      <c r="BY93" s="177">
        <v>100</v>
      </c>
      <c r="BZ93" s="177">
        <v>59</v>
      </c>
      <c r="CA93" s="177">
        <v>57</v>
      </c>
      <c r="CB93" s="179">
        <v>100</v>
      </c>
      <c r="CC93" s="177">
        <v>98</v>
      </c>
      <c r="CD93" s="177">
        <v>53</v>
      </c>
      <c r="CE93" s="177">
        <v>98</v>
      </c>
      <c r="CF93" s="177">
        <v>7</v>
      </c>
      <c r="CG93" s="177">
        <v>44</v>
      </c>
      <c r="CH93" s="177">
        <v>15</v>
      </c>
      <c r="CI93" s="177">
        <v>26</v>
      </c>
      <c r="CJ93" s="177">
        <v>58</v>
      </c>
      <c r="CK93" s="178">
        <v>73</v>
      </c>
      <c r="CL93" s="180">
        <v>57</v>
      </c>
    </row>
    <row r="94" spans="1:90">
      <c r="A94" s="93">
        <f>ROWS($A$3:A92)</f>
        <v>90</v>
      </c>
      <c r="B94" s="67" t="s">
        <v>266</v>
      </c>
      <c r="C94" s="243"/>
      <c r="D94" s="314"/>
      <c r="E94" s="337"/>
      <c r="F94" s="156"/>
      <c r="G94" s="177"/>
      <c r="H94" s="177"/>
      <c r="I94" s="178"/>
      <c r="J94" s="181"/>
      <c r="K94" s="156"/>
      <c r="L94" s="177"/>
      <c r="M94" s="177"/>
      <c r="N94" s="177"/>
      <c r="O94" s="177"/>
      <c r="P94" s="177"/>
      <c r="Q94" s="177"/>
      <c r="R94" s="177"/>
      <c r="S94" s="177"/>
      <c r="T94" s="177"/>
      <c r="U94" s="179"/>
      <c r="V94" s="177"/>
      <c r="W94" s="177"/>
      <c r="X94" s="177"/>
      <c r="Y94" s="177"/>
      <c r="Z94" s="177"/>
      <c r="AA94" s="177"/>
      <c r="AB94" s="179"/>
      <c r="AC94" s="177"/>
      <c r="AD94" s="177"/>
      <c r="AE94" s="177"/>
      <c r="AF94" s="177"/>
      <c r="AG94" s="177"/>
      <c r="AH94" s="177"/>
      <c r="AI94" s="177"/>
      <c r="AJ94" s="177"/>
      <c r="AK94" s="179"/>
      <c r="AL94" s="177"/>
      <c r="AM94" s="177"/>
      <c r="AN94" s="177"/>
      <c r="AO94" s="177"/>
      <c r="AP94" s="177"/>
      <c r="AQ94" s="177"/>
      <c r="AR94" s="177"/>
      <c r="AS94" s="178"/>
      <c r="AT94" s="177"/>
      <c r="AU94" s="177"/>
      <c r="AV94" s="177"/>
      <c r="AW94" s="177"/>
      <c r="AX94" s="177"/>
      <c r="AY94" s="177"/>
      <c r="AZ94" s="177"/>
      <c r="BA94" s="177"/>
      <c r="BB94" s="177"/>
      <c r="BC94" s="177"/>
      <c r="BD94" s="177"/>
      <c r="BE94" s="177"/>
      <c r="BF94" s="179"/>
      <c r="BG94" s="177"/>
      <c r="BH94" s="177"/>
      <c r="BI94" s="177"/>
      <c r="BJ94" s="177"/>
      <c r="BK94" s="177"/>
      <c r="BL94" s="177"/>
      <c r="BM94" s="177"/>
      <c r="BN94" s="177"/>
      <c r="BO94" s="177"/>
      <c r="BP94" s="177"/>
      <c r="BQ94" s="177"/>
      <c r="BR94" s="179"/>
      <c r="BS94" s="177"/>
      <c r="BT94" s="177"/>
      <c r="BU94" s="177"/>
      <c r="BV94" s="177"/>
      <c r="BW94" s="177"/>
      <c r="BX94" s="177"/>
      <c r="BY94" s="177"/>
      <c r="BZ94" s="177"/>
      <c r="CA94" s="177"/>
      <c r="CB94" s="179"/>
      <c r="CC94" s="177"/>
      <c r="CD94" s="177"/>
      <c r="CE94" s="177"/>
      <c r="CF94" s="177"/>
      <c r="CG94" s="177"/>
      <c r="CH94" s="177"/>
      <c r="CI94" s="177"/>
      <c r="CJ94" s="177"/>
      <c r="CK94" s="178"/>
      <c r="CL94" s="180"/>
    </row>
    <row r="95" spans="1:90">
      <c r="A95" s="93">
        <f>ROWS($A$3:A93)</f>
        <v>91</v>
      </c>
      <c r="B95" s="106" t="s">
        <v>82</v>
      </c>
      <c r="C95" s="242">
        <v>2009</v>
      </c>
      <c r="D95" s="314" t="s">
        <v>14</v>
      </c>
      <c r="E95" s="316">
        <v>40441</v>
      </c>
      <c r="F95" s="156">
        <v>103201</v>
      </c>
      <c r="G95" s="177">
        <v>24467</v>
      </c>
      <c r="H95" s="177">
        <v>68097</v>
      </c>
      <c r="I95" s="178">
        <v>161906</v>
      </c>
      <c r="J95" s="181"/>
      <c r="K95" s="156">
        <f>BF95</f>
        <v>25180</v>
      </c>
      <c r="L95" s="177">
        <f>AY95</f>
        <v>6976</v>
      </c>
      <c r="M95" s="177">
        <f>BD95</f>
        <v>7363</v>
      </c>
      <c r="N95" s="177">
        <f>AW95</f>
        <v>10481</v>
      </c>
      <c r="O95" s="177">
        <f>BE95</f>
        <v>7992</v>
      </c>
      <c r="P95" s="177">
        <f>AZ95+BA95</f>
        <v>4931</v>
      </c>
      <c r="Q95" s="177">
        <f>'2009'!AU95</f>
        <v>3004</v>
      </c>
      <c r="R95" s="177">
        <f>AX95</f>
        <v>5030</v>
      </c>
      <c r="S95" s="177">
        <f>AV95</f>
        <v>2783</v>
      </c>
      <c r="T95" s="177">
        <f t="shared" ref="T95:U99" si="211">BB95</f>
        <v>7405</v>
      </c>
      <c r="U95" s="179">
        <f t="shared" si="211"/>
        <v>22056</v>
      </c>
      <c r="V95" s="177">
        <f>BJ95</f>
        <v>428</v>
      </c>
      <c r="W95" s="177">
        <f>BR95</f>
        <v>3925</v>
      </c>
      <c r="X95" s="177">
        <f>BH95+BI95</f>
        <v>1365</v>
      </c>
      <c r="Y95" s="177">
        <f>BK95+BL95+BN95</f>
        <v>3993</v>
      </c>
      <c r="Z95" s="177">
        <f>BM95</f>
        <v>8277</v>
      </c>
      <c r="AA95" s="177">
        <f>BO95+BQ95</f>
        <v>2906</v>
      </c>
      <c r="AB95" s="179">
        <f>BP95</f>
        <v>3575</v>
      </c>
      <c r="AC95" s="177">
        <f>BX95</f>
        <v>11995</v>
      </c>
      <c r="AD95" s="177">
        <f>BU95</f>
        <v>3745</v>
      </c>
      <c r="AE95" s="177">
        <f>BT95</f>
        <v>10258</v>
      </c>
      <c r="AF95" s="177">
        <f>CA95</f>
        <v>3799</v>
      </c>
      <c r="AG95" s="177">
        <f>BV95</f>
        <v>8642</v>
      </c>
      <c r="AH95" s="177">
        <f>BZ95</f>
        <v>9059</v>
      </c>
      <c r="AI95" s="177">
        <f>BW95</f>
        <v>5332</v>
      </c>
      <c r="AJ95" s="177">
        <f>BY95</f>
        <v>5202</v>
      </c>
      <c r="AK95" s="179">
        <f>CB95</f>
        <v>10066</v>
      </c>
      <c r="AL95" s="177">
        <f>CE95</f>
        <v>3142</v>
      </c>
      <c r="AM95" s="177">
        <f>CH95</f>
        <v>35281</v>
      </c>
      <c r="AN95" s="177">
        <f>CJ95</f>
        <v>69471</v>
      </c>
      <c r="AO95" s="177">
        <f t="shared" ref="AO95:AP99" si="212">CC95</f>
        <v>8581</v>
      </c>
      <c r="AP95" s="177">
        <f t="shared" si="212"/>
        <v>1722</v>
      </c>
      <c r="AQ95" s="177">
        <f>CK95</f>
        <v>13268</v>
      </c>
      <c r="AR95" s="177">
        <f>CI95</f>
        <v>10947</v>
      </c>
      <c r="AS95" s="178">
        <f>CF95+CG95</f>
        <v>19494</v>
      </c>
      <c r="AT95" s="181">
        <v>0</v>
      </c>
      <c r="AU95" s="181">
        <v>3004</v>
      </c>
      <c r="AV95" s="181">
        <v>2783</v>
      </c>
      <c r="AW95" s="181">
        <v>10481</v>
      </c>
      <c r="AX95" s="177">
        <v>5030</v>
      </c>
      <c r="AY95" s="177">
        <v>6976</v>
      </c>
      <c r="AZ95" s="177">
        <v>0</v>
      </c>
      <c r="BA95" s="177">
        <v>4931</v>
      </c>
      <c r="BB95" s="177">
        <v>7405</v>
      </c>
      <c r="BC95" s="177">
        <v>22056</v>
      </c>
      <c r="BD95" s="177">
        <v>7363</v>
      </c>
      <c r="BE95" s="177">
        <v>7992</v>
      </c>
      <c r="BF95" s="179">
        <v>25180</v>
      </c>
      <c r="BG95" s="177">
        <v>0</v>
      </c>
      <c r="BH95" s="177">
        <v>0</v>
      </c>
      <c r="BI95" s="177">
        <v>1365</v>
      </c>
      <c r="BJ95" s="177">
        <v>428</v>
      </c>
      <c r="BK95" s="177">
        <v>0</v>
      </c>
      <c r="BL95" s="177">
        <v>0</v>
      </c>
      <c r="BM95" s="177">
        <v>8277</v>
      </c>
      <c r="BN95" s="177">
        <v>3993</v>
      </c>
      <c r="BO95" s="177">
        <v>0</v>
      </c>
      <c r="BP95" s="177">
        <v>3575</v>
      </c>
      <c r="BQ95" s="177">
        <v>2906</v>
      </c>
      <c r="BR95" s="179">
        <v>3925</v>
      </c>
      <c r="BS95" s="177">
        <v>0</v>
      </c>
      <c r="BT95" s="177">
        <v>10258</v>
      </c>
      <c r="BU95" s="177">
        <v>3745</v>
      </c>
      <c r="BV95" s="177">
        <v>8642</v>
      </c>
      <c r="BW95" s="177">
        <v>5332</v>
      </c>
      <c r="BX95" s="177">
        <v>11995</v>
      </c>
      <c r="BY95" s="177">
        <f>22529-11995-5332</f>
        <v>5202</v>
      </c>
      <c r="BZ95" s="177">
        <v>9059</v>
      </c>
      <c r="CA95" s="177">
        <v>3799</v>
      </c>
      <c r="CB95" s="179">
        <v>10066</v>
      </c>
      <c r="CC95" s="177">
        <v>8581</v>
      </c>
      <c r="CD95" s="177">
        <v>1722</v>
      </c>
      <c r="CE95" s="177">
        <v>3142</v>
      </c>
      <c r="CF95" s="177">
        <v>0</v>
      </c>
      <c r="CG95" s="177">
        <v>19494</v>
      </c>
      <c r="CH95" s="177">
        <v>35281</v>
      </c>
      <c r="CI95" s="177">
        <v>10947</v>
      </c>
      <c r="CJ95" s="177">
        <v>69471</v>
      </c>
      <c r="CK95" s="178">
        <v>13268</v>
      </c>
      <c r="CL95" s="180">
        <v>357670</v>
      </c>
    </row>
    <row r="96" spans="1:90">
      <c r="A96" s="93">
        <f>ROWS($A$3:A94)</f>
        <v>92</v>
      </c>
      <c r="B96" s="106" t="s">
        <v>106</v>
      </c>
      <c r="C96" s="243">
        <f>C95</f>
        <v>2009</v>
      </c>
      <c r="D96" s="314" t="s">
        <v>11</v>
      </c>
      <c r="E96" s="316">
        <v>40441</v>
      </c>
      <c r="F96" s="156">
        <v>640189</v>
      </c>
      <c r="G96" s="177">
        <v>146488</v>
      </c>
      <c r="H96" s="177">
        <v>385490</v>
      </c>
      <c r="I96" s="178">
        <v>1044572</v>
      </c>
      <c r="J96" s="181"/>
      <c r="K96" s="156">
        <f>BF96</f>
        <v>167791</v>
      </c>
      <c r="L96" s="177">
        <f>AY96</f>
        <v>44098</v>
      </c>
      <c r="M96" s="177">
        <f>BD96</f>
        <v>44911</v>
      </c>
      <c r="N96" s="177">
        <f>AW96</f>
        <v>59155</v>
      </c>
      <c r="O96" s="177">
        <f>BE96</f>
        <v>46173</v>
      </c>
      <c r="P96" s="177">
        <f>AZ96+BA96</f>
        <v>29616</v>
      </c>
      <c r="Q96" s="177">
        <f>'2009'!AU96</f>
        <v>17813</v>
      </c>
      <c r="R96" s="177">
        <f>AX96</f>
        <v>31429</v>
      </c>
      <c r="S96" s="177">
        <f>AV96</f>
        <v>13076</v>
      </c>
      <c r="T96" s="177">
        <f t="shared" si="211"/>
        <v>45203</v>
      </c>
      <c r="U96" s="179">
        <f t="shared" si="211"/>
        <v>140924</v>
      </c>
      <c r="V96" s="177">
        <f>BJ96</f>
        <v>1843</v>
      </c>
      <c r="W96" s="177">
        <f>BR96</f>
        <v>23005</v>
      </c>
      <c r="X96" s="177">
        <f>BH96+BI96</f>
        <v>7107</v>
      </c>
      <c r="Y96" s="177">
        <f>BK96+BL96+BN96</f>
        <v>23997</v>
      </c>
      <c r="Z96" s="177">
        <f>BM96</f>
        <v>50951</v>
      </c>
      <c r="AA96" s="177">
        <f>BO96+BQ96</f>
        <v>18304</v>
      </c>
      <c r="AB96" s="179">
        <f>BP96</f>
        <v>21281</v>
      </c>
      <c r="AC96" s="177">
        <f>BX96</f>
        <v>66508</v>
      </c>
      <c r="AD96" s="177">
        <f>BU96</f>
        <v>19328</v>
      </c>
      <c r="AE96" s="177">
        <f>BT96</f>
        <v>57735</v>
      </c>
      <c r="AF96" s="177">
        <f>CA96</f>
        <v>19131</v>
      </c>
      <c r="AG96" s="177">
        <f>BV96</f>
        <v>41496</v>
      </c>
      <c r="AH96" s="177">
        <f>BZ96</f>
        <v>58830</v>
      </c>
      <c r="AI96" s="177">
        <f>BW96</f>
        <v>28800</v>
      </c>
      <c r="AJ96" s="177">
        <f>BY96</f>
        <v>32900</v>
      </c>
      <c r="AK96" s="179">
        <f>CB96</f>
        <v>60762</v>
      </c>
      <c r="AL96" s="177">
        <f>CE96</f>
        <v>21499</v>
      </c>
      <c r="AM96" s="177">
        <f>CH96</f>
        <v>226025</v>
      </c>
      <c r="AN96" s="177">
        <f>CJ96</f>
        <v>464085</v>
      </c>
      <c r="AO96" s="177">
        <f t="shared" si="212"/>
        <v>51873</v>
      </c>
      <c r="AP96" s="177">
        <f t="shared" si="212"/>
        <v>9709</v>
      </c>
      <c r="AQ96" s="177">
        <f>CK96</f>
        <v>81460</v>
      </c>
      <c r="AR96" s="177">
        <f>CI96</f>
        <v>67292</v>
      </c>
      <c r="AS96" s="178">
        <f>CF96+CG96</f>
        <v>122629</v>
      </c>
      <c r="AT96" s="181">
        <v>0</v>
      </c>
      <c r="AU96" s="181">
        <v>17813</v>
      </c>
      <c r="AV96" s="181">
        <v>13076</v>
      </c>
      <c r="AW96" s="181">
        <v>59155</v>
      </c>
      <c r="AX96" s="177">
        <v>31429</v>
      </c>
      <c r="AY96" s="177">
        <v>44098</v>
      </c>
      <c r="AZ96" s="177">
        <v>0</v>
      </c>
      <c r="BA96" s="177">
        <v>29616</v>
      </c>
      <c r="BB96" s="177">
        <v>45203</v>
      </c>
      <c r="BC96" s="177">
        <v>140924</v>
      </c>
      <c r="BD96" s="177">
        <v>44911</v>
      </c>
      <c r="BE96" s="177">
        <v>46173</v>
      </c>
      <c r="BF96" s="179">
        <v>167791</v>
      </c>
      <c r="BG96" s="177">
        <v>0</v>
      </c>
      <c r="BH96" s="177">
        <v>0</v>
      </c>
      <c r="BI96" s="177">
        <v>7107</v>
      </c>
      <c r="BJ96" s="177">
        <v>1843</v>
      </c>
      <c r="BK96" s="177">
        <v>0</v>
      </c>
      <c r="BL96" s="177">
        <v>0</v>
      </c>
      <c r="BM96" s="177">
        <v>50951</v>
      </c>
      <c r="BN96" s="177">
        <v>23997</v>
      </c>
      <c r="BO96" s="177">
        <v>0</v>
      </c>
      <c r="BP96" s="177">
        <v>21281</v>
      </c>
      <c r="BQ96" s="177">
        <v>18304</v>
      </c>
      <c r="BR96" s="179">
        <v>23005</v>
      </c>
      <c r="BS96" s="177">
        <v>0</v>
      </c>
      <c r="BT96" s="177">
        <v>57735</v>
      </c>
      <c r="BU96" s="177">
        <v>19328</v>
      </c>
      <c r="BV96" s="177">
        <v>41496</v>
      </c>
      <c r="BW96" s="177">
        <v>28800</v>
      </c>
      <c r="BX96" s="177">
        <v>66508</v>
      </c>
      <c r="BY96" s="177">
        <f>128208-28800-66508</f>
        <v>32900</v>
      </c>
      <c r="BZ96" s="177">
        <v>58830</v>
      </c>
      <c r="CA96" s="177">
        <v>19131</v>
      </c>
      <c r="CB96" s="179">
        <v>60762</v>
      </c>
      <c r="CC96" s="177">
        <v>51873</v>
      </c>
      <c r="CD96" s="177">
        <v>9709</v>
      </c>
      <c r="CE96" s="177">
        <v>21499</v>
      </c>
      <c r="CF96" s="177">
        <v>0</v>
      </c>
      <c r="CG96" s="177">
        <v>122629</v>
      </c>
      <c r="CH96" s="177">
        <v>226025</v>
      </c>
      <c r="CI96" s="177">
        <v>67292</v>
      </c>
      <c r="CJ96" s="177">
        <v>464085</v>
      </c>
      <c r="CK96" s="178">
        <v>81460</v>
      </c>
      <c r="CL96" s="180">
        <v>2216739</v>
      </c>
    </row>
    <row r="97" spans="1:90">
      <c r="A97" s="93">
        <f>ROWS($A$3:A95)</f>
        <v>93</v>
      </c>
      <c r="B97" s="106" t="s">
        <v>107</v>
      </c>
      <c r="C97" s="238">
        <f>C95</f>
        <v>2009</v>
      </c>
      <c r="D97" s="314" t="s">
        <v>11</v>
      </c>
      <c r="E97" s="316">
        <v>40441</v>
      </c>
      <c r="F97" s="156">
        <v>608471</v>
      </c>
      <c r="G97" s="177">
        <v>140095</v>
      </c>
      <c r="H97" s="177">
        <v>360260</v>
      </c>
      <c r="I97" s="178">
        <v>994925</v>
      </c>
      <c r="J97" s="181"/>
      <c r="K97" s="156">
        <f>BF97</f>
        <v>159971</v>
      </c>
      <c r="L97" s="177">
        <f>AY97</f>
        <v>41908</v>
      </c>
      <c r="M97" s="177">
        <f>BD97</f>
        <v>42642</v>
      </c>
      <c r="N97" s="177">
        <f>AW97</f>
        <v>56014</v>
      </c>
      <c r="O97" s="177">
        <f>BE97</f>
        <v>43776</v>
      </c>
      <c r="P97" s="177">
        <f>AZ97+BA97</f>
        <v>28119</v>
      </c>
      <c r="Q97" s="177">
        <f>'2009'!AU97</f>
        <v>16912</v>
      </c>
      <c r="R97" s="177">
        <f>AX97</f>
        <v>29907</v>
      </c>
      <c r="S97" s="177">
        <f>AV97</f>
        <v>12238</v>
      </c>
      <c r="T97" s="177">
        <f>BB97</f>
        <v>42936</v>
      </c>
      <c r="U97" s="179">
        <f>BC97</f>
        <v>134048</v>
      </c>
      <c r="V97" s="177">
        <f>BJ97</f>
        <v>1718</v>
      </c>
      <c r="W97" s="177">
        <f>BR97</f>
        <v>21953</v>
      </c>
      <c r="X97" s="177">
        <f>BH97+BI97</f>
        <v>6755</v>
      </c>
      <c r="Y97" s="177">
        <f>BK97+BL97+BN97</f>
        <v>22996</v>
      </c>
      <c r="Z97" s="177">
        <f>BM97</f>
        <v>48791</v>
      </c>
      <c r="AA97" s="177">
        <f>BO97+BQ97</f>
        <v>17554</v>
      </c>
      <c r="AB97" s="179">
        <f>BP97</f>
        <v>20328</v>
      </c>
      <c r="AC97" s="177">
        <f>BX97</f>
        <v>62172</v>
      </c>
      <c r="AD97" s="177">
        <f>BU97</f>
        <v>17865</v>
      </c>
      <c r="AE97" s="177">
        <f>BT97</f>
        <v>53867</v>
      </c>
      <c r="AF97" s="177">
        <f>CA97</f>
        <v>17624</v>
      </c>
      <c r="AG97" s="177">
        <f>BV97</f>
        <v>38234</v>
      </c>
      <c r="AH97" s="177">
        <f>BZ97</f>
        <v>55673</v>
      </c>
      <c r="AI97" s="177">
        <f>BW97</f>
        <v>26815</v>
      </c>
      <c r="AJ97" s="177">
        <f>BY97</f>
        <v>30998</v>
      </c>
      <c r="AK97" s="179">
        <f>CB97</f>
        <v>57012</v>
      </c>
      <c r="AL97" s="177">
        <f>CE97</f>
        <v>20489</v>
      </c>
      <c r="AM97" s="177">
        <f>CH97</f>
        <v>215226</v>
      </c>
      <c r="AN97" s="177">
        <f>CJ97</f>
        <v>443090</v>
      </c>
      <c r="AO97" s="177">
        <f>CC97</f>
        <v>49147</v>
      </c>
      <c r="AP97" s="177">
        <f>CD97</f>
        <v>9147</v>
      </c>
      <c r="AQ97" s="177">
        <f>CK97</f>
        <v>77225</v>
      </c>
      <c r="AR97" s="177">
        <f>CI97</f>
        <v>63894</v>
      </c>
      <c r="AS97" s="178">
        <f>CF97+CG97</f>
        <v>116707</v>
      </c>
      <c r="AT97" s="181">
        <v>0</v>
      </c>
      <c r="AU97" s="181">
        <v>16912</v>
      </c>
      <c r="AV97" s="181">
        <v>12238</v>
      </c>
      <c r="AW97" s="181">
        <v>56014</v>
      </c>
      <c r="AX97" s="177">
        <v>29907</v>
      </c>
      <c r="AY97" s="177">
        <v>41908</v>
      </c>
      <c r="AZ97" s="177">
        <v>0</v>
      </c>
      <c r="BA97" s="177">
        <v>28119</v>
      </c>
      <c r="BB97" s="177">
        <v>42936</v>
      </c>
      <c r="BC97" s="177">
        <v>134048</v>
      </c>
      <c r="BD97" s="177">
        <v>42642</v>
      </c>
      <c r="BE97" s="177">
        <v>43776</v>
      </c>
      <c r="BF97" s="179">
        <v>159971</v>
      </c>
      <c r="BG97" s="181">
        <v>0</v>
      </c>
      <c r="BH97" s="177">
        <v>0</v>
      </c>
      <c r="BI97" s="177">
        <v>6755</v>
      </c>
      <c r="BJ97" s="177">
        <v>1718</v>
      </c>
      <c r="BK97" s="177">
        <v>0</v>
      </c>
      <c r="BL97" s="177">
        <v>0</v>
      </c>
      <c r="BM97" s="177">
        <v>48791</v>
      </c>
      <c r="BN97" s="177">
        <v>22996</v>
      </c>
      <c r="BO97" s="177">
        <v>0</v>
      </c>
      <c r="BP97" s="177">
        <v>20328</v>
      </c>
      <c r="BQ97" s="177">
        <v>17554</v>
      </c>
      <c r="BR97" s="179">
        <v>21953</v>
      </c>
      <c r="BS97" s="177">
        <v>0</v>
      </c>
      <c r="BT97" s="177">
        <v>53867</v>
      </c>
      <c r="BU97" s="177">
        <v>17865</v>
      </c>
      <c r="BV97" s="177">
        <v>38234</v>
      </c>
      <c r="BW97" s="177">
        <v>26815</v>
      </c>
      <c r="BX97" s="177">
        <v>62172</v>
      </c>
      <c r="BY97" s="177">
        <f>119985-26815-62172</f>
        <v>30998</v>
      </c>
      <c r="BZ97" s="177">
        <v>55673</v>
      </c>
      <c r="CA97" s="177">
        <v>17624</v>
      </c>
      <c r="CB97" s="179">
        <v>57012</v>
      </c>
      <c r="CC97" s="177">
        <v>49147</v>
      </c>
      <c r="CD97" s="177">
        <v>9147</v>
      </c>
      <c r="CE97" s="177">
        <v>20489</v>
      </c>
      <c r="CF97" s="177">
        <v>0</v>
      </c>
      <c r="CG97" s="177">
        <v>116707</v>
      </c>
      <c r="CH97" s="177">
        <v>215226</v>
      </c>
      <c r="CI97" s="177">
        <v>63894</v>
      </c>
      <c r="CJ97" s="177">
        <v>443090</v>
      </c>
      <c r="CK97" s="178">
        <v>77225</v>
      </c>
      <c r="CL97" s="180">
        <v>2103751</v>
      </c>
    </row>
    <row r="98" spans="1:90">
      <c r="A98" s="93">
        <f>ROWS($A$3:A96)</f>
        <v>94</v>
      </c>
      <c r="B98" s="63" t="s">
        <v>82</v>
      </c>
      <c r="C98" s="242">
        <v>2001</v>
      </c>
      <c r="D98" s="314" t="s">
        <v>14</v>
      </c>
      <c r="E98" s="316">
        <v>40441</v>
      </c>
      <c r="F98" s="194">
        <v>122737</v>
      </c>
      <c r="G98" s="195">
        <v>30239</v>
      </c>
      <c r="H98" s="195">
        <v>82089</v>
      </c>
      <c r="I98" s="196">
        <v>186831</v>
      </c>
      <c r="J98" s="348"/>
      <c r="K98" s="197">
        <f>BF98</f>
        <v>29042</v>
      </c>
      <c r="L98" s="147">
        <f>AY98</f>
        <v>8671</v>
      </c>
      <c r="M98" s="147">
        <f>BD98</f>
        <v>9647</v>
      </c>
      <c r="N98" s="147">
        <f>AW98</f>
        <v>12155</v>
      </c>
      <c r="O98" s="147">
        <f>BE98</f>
        <v>8882</v>
      </c>
      <c r="P98" s="177">
        <f>AZ98+BA98</f>
        <v>6750</v>
      </c>
      <c r="Q98" s="147">
        <f>'2009'!AU98</f>
        <v>3596</v>
      </c>
      <c r="R98" s="147">
        <f>AT98+AX98</f>
        <v>6359</v>
      </c>
      <c r="S98" s="147">
        <f>AV98</f>
        <v>3597</v>
      </c>
      <c r="T98" s="147">
        <f t="shared" si="211"/>
        <v>9048</v>
      </c>
      <c r="U98" s="145">
        <f t="shared" si="211"/>
        <v>25010</v>
      </c>
      <c r="V98" s="147">
        <f>BJ98</f>
        <v>733</v>
      </c>
      <c r="W98" s="147">
        <f>BR98</f>
        <v>4744</v>
      </c>
      <c r="X98" s="177">
        <f>BH98+BI98</f>
        <v>2102</v>
      </c>
      <c r="Y98" s="177">
        <f>BK98+BL98+BN98</f>
        <v>5175</v>
      </c>
      <c r="Z98" s="147">
        <f>BM98</f>
        <v>9713</v>
      </c>
      <c r="AA98" s="177">
        <f>BO98+BQ98</f>
        <v>3302</v>
      </c>
      <c r="AB98" s="145">
        <f>BP98</f>
        <v>4470</v>
      </c>
      <c r="AC98" s="147">
        <f>BX98</f>
        <v>13714</v>
      </c>
      <c r="AD98" s="147">
        <f>BU98</f>
        <v>4577</v>
      </c>
      <c r="AE98" s="147">
        <f>BT98</f>
        <v>12575</v>
      </c>
      <c r="AF98" s="147">
        <f>CA98</f>
        <v>5079</v>
      </c>
      <c r="AG98" s="147">
        <f>BV98</f>
        <v>11376</v>
      </c>
      <c r="AH98" s="147">
        <f>BZ98</f>
        <v>10288</v>
      </c>
      <c r="AI98" s="147">
        <f>BW98</f>
        <v>6966</v>
      </c>
      <c r="AJ98" s="147">
        <f>BY98</f>
        <v>5669</v>
      </c>
      <c r="AK98" s="145">
        <f>CB98</f>
        <v>11846</v>
      </c>
      <c r="AL98" s="147">
        <f>CE98</f>
        <v>3682</v>
      </c>
      <c r="AM98" s="147">
        <f>CH98</f>
        <v>40047</v>
      </c>
      <c r="AN98" s="147">
        <f>CJ98</f>
        <v>77867</v>
      </c>
      <c r="AO98" s="147">
        <f t="shared" si="212"/>
        <v>10463</v>
      </c>
      <c r="AP98" s="147">
        <f t="shared" si="212"/>
        <v>2188</v>
      </c>
      <c r="AQ98" s="147">
        <f>CK98</f>
        <v>16050</v>
      </c>
      <c r="AR98" s="147">
        <f>CI98</f>
        <v>13238</v>
      </c>
      <c r="AS98" s="178">
        <f>CF98+CG98</f>
        <v>23297</v>
      </c>
      <c r="AT98" s="147">
        <v>488</v>
      </c>
      <c r="AU98" s="147">
        <v>3596</v>
      </c>
      <c r="AV98" s="147">
        <v>3597</v>
      </c>
      <c r="AW98" s="147">
        <v>12155</v>
      </c>
      <c r="AX98" s="147">
        <v>5871</v>
      </c>
      <c r="AY98" s="147">
        <v>8671</v>
      </c>
      <c r="AZ98" s="147">
        <v>266</v>
      </c>
      <c r="BA98" s="147">
        <v>6484</v>
      </c>
      <c r="BB98" s="147">
        <v>9048</v>
      </c>
      <c r="BC98" s="147">
        <v>25010</v>
      </c>
      <c r="BD98" s="147">
        <v>9647</v>
      </c>
      <c r="BE98" s="147">
        <v>8882</v>
      </c>
      <c r="BF98" s="145">
        <v>29042</v>
      </c>
      <c r="BG98" s="199">
        <v>0</v>
      </c>
      <c r="BH98" s="147">
        <v>113</v>
      </c>
      <c r="BI98" s="147">
        <v>1989</v>
      </c>
      <c r="BJ98" s="147">
        <v>733</v>
      </c>
      <c r="BK98" s="147">
        <v>256</v>
      </c>
      <c r="BL98" s="147">
        <v>39</v>
      </c>
      <c r="BM98" s="147">
        <v>9713</v>
      </c>
      <c r="BN98" s="147">
        <v>4880</v>
      </c>
      <c r="BO98" s="199">
        <v>113</v>
      </c>
      <c r="BP98" s="147">
        <v>4470</v>
      </c>
      <c r="BQ98" s="147">
        <v>3189</v>
      </c>
      <c r="BR98" s="145">
        <v>4744</v>
      </c>
      <c r="BS98" s="199">
        <v>0</v>
      </c>
      <c r="BT98" s="147">
        <v>12575</v>
      </c>
      <c r="BU98" s="147">
        <v>4577</v>
      </c>
      <c r="BV98" s="147">
        <v>11376</v>
      </c>
      <c r="BW98" s="147">
        <v>6966</v>
      </c>
      <c r="BX98" s="147">
        <v>13714</v>
      </c>
      <c r="BY98" s="147">
        <v>5669</v>
      </c>
      <c r="BZ98" s="147">
        <v>10288</v>
      </c>
      <c r="CA98" s="147">
        <v>5079</v>
      </c>
      <c r="CB98" s="145">
        <v>11846</v>
      </c>
      <c r="CC98" s="147">
        <v>10463</v>
      </c>
      <c r="CD98" s="147">
        <v>2188</v>
      </c>
      <c r="CE98" s="147">
        <v>3682</v>
      </c>
      <c r="CF98" s="147">
        <v>1002</v>
      </c>
      <c r="CG98" s="147">
        <v>22295</v>
      </c>
      <c r="CH98" s="147">
        <v>40047</v>
      </c>
      <c r="CI98" s="147">
        <v>13238</v>
      </c>
      <c r="CJ98" s="147">
        <v>77867</v>
      </c>
      <c r="CK98" s="198">
        <v>16050</v>
      </c>
      <c r="CL98" s="163">
        <v>421896</v>
      </c>
    </row>
    <row r="99" spans="1:90">
      <c r="A99" s="93">
        <f>ROWS($A$3:A97)</f>
        <v>95</v>
      </c>
      <c r="B99" s="63" t="s">
        <v>107</v>
      </c>
      <c r="C99" s="245">
        <f>C98</f>
        <v>2001</v>
      </c>
      <c r="D99" s="314" t="s">
        <v>11</v>
      </c>
      <c r="E99" s="316">
        <v>40441</v>
      </c>
      <c r="F99" s="194">
        <v>618865</v>
      </c>
      <c r="G99" s="195">
        <v>149025</v>
      </c>
      <c r="H99" s="195">
        <v>366598</v>
      </c>
      <c r="I99" s="196">
        <v>1009287</v>
      </c>
      <c r="J99" s="348"/>
      <c r="K99" s="197">
        <f>BF99</f>
        <v>150712</v>
      </c>
      <c r="L99" s="147">
        <f>AY99</f>
        <v>42810</v>
      </c>
      <c r="M99" s="147">
        <f>BD99</f>
        <v>45971</v>
      </c>
      <c r="N99" s="147">
        <f>AW99</f>
        <v>57752</v>
      </c>
      <c r="O99" s="147">
        <f>BE99</f>
        <v>42099</v>
      </c>
      <c r="P99" s="177">
        <f>AZ99+BA99</f>
        <v>34324</v>
      </c>
      <c r="Q99" s="147">
        <f>'2009'!AU99</f>
        <v>18437</v>
      </c>
      <c r="R99" s="147">
        <f>AT99+AX99</f>
        <v>31700</v>
      </c>
      <c r="S99" s="147">
        <f>AV99</f>
        <v>14642</v>
      </c>
      <c r="T99" s="147">
        <f t="shared" si="211"/>
        <v>45007</v>
      </c>
      <c r="U99" s="145">
        <f t="shared" si="211"/>
        <v>135411</v>
      </c>
      <c r="V99" s="147">
        <f>BJ99</f>
        <v>2815</v>
      </c>
      <c r="W99" s="147">
        <f>BR99</f>
        <v>22064</v>
      </c>
      <c r="X99" s="177">
        <f>BH99+BI99</f>
        <v>8816</v>
      </c>
      <c r="Y99" s="177">
        <f>BK99+BL99+BN99</f>
        <v>25904</v>
      </c>
      <c r="Z99" s="147">
        <f>BM99</f>
        <v>51750</v>
      </c>
      <c r="AA99" s="177">
        <f>BO99+BQ99</f>
        <v>16216</v>
      </c>
      <c r="AB99" s="145">
        <f>BP99</f>
        <v>21460</v>
      </c>
      <c r="AC99" s="147">
        <f>BX99</f>
        <v>61788</v>
      </c>
      <c r="AD99" s="147">
        <f>BU99</f>
        <v>19448</v>
      </c>
      <c r="AE99" s="147">
        <f>BT99</f>
        <v>55233</v>
      </c>
      <c r="AF99" s="147">
        <f>CA99</f>
        <v>19955</v>
      </c>
      <c r="AG99" s="147">
        <f>BV99</f>
        <v>44544</v>
      </c>
      <c r="AH99" s="147">
        <f>BZ99</f>
        <v>53603</v>
      </c>
      <c r="AI99" s="147">
        <f>BW99</f>
        <v>29404</v>
      </c>
      <c r="AJ99" s="147">
        <f>BY99</f>
        <v>28518</v>
      </c>
      <c r="AK99" s="145">
        <f>CB99</f>
        <v>54105</v>
      </c>
      <c r="AL99" s="147">
        <f>CE99</f>
        <v>19008</v>
      </c>
      <c r="AM99" s="147">
        <f>CH99</f>
        <v>219991</v>
      </c>
      <c r="AN99" s="147">
        <f>CJ99</f>
        <v>437632</v>
      </c>
      <c r="AO99" s="147">
        <f t="shared" si="212"/>
        <v>51966</v>
      </c>
      <c r="AP99" s="147">
        <f t="shared" si="212"/>
        <v>9443</v>
      </c>
      <c r="AQ99" s="147">
        <f>CK99</f>
        <v>80123</v>
      </c>
      <c r="AR99" s="147">
        <f>CI99</f>
        <v>71575</v>
      </c>
      <c r="AS99" s="178">
        <f>CF99+CG99</f>
        <v>119549</v>
      </c>
      <c r="AT99" s="147">
        <v>2163</v>
      </c>
      <c r="AU99" s="147">
        <v>18437</v>
      </c>
      <c r="AV99" s="147">
        <v>14642</v>
      </c>
      <c r="AW99" s="147">
        <v>57752</v>
      </c>
      <c r="AX99" s="147">
        <v>29537</v>
      </c>
      <c r="AY99" s="147">
        <v>42810</v>
      </c>
      <c r="AZ99" s="147">
        <v>832</v>
      </c>
      <c r="BA99" s="147">
        <v>33492</v>
      </c>
      <c r="BB99" s="147">
        <v>45007</v>
      </c>
      <c r="BC99" s="147">
        <v>135411</v>
      </c>
      <c r="BD99" s="147">
        <v>45971</v>
      </c>
      <c r="BE99" s="147">
        <v>42099</v>
      </c>
      <c r="BF99" s="145">
        <v>150712</v>
      </c>
      <c r="BG99" s="199">
        <v>0</v>
      </c>
      <c r="BH99" s="147">
        <v>500</v>
      </c>
      <c r="BI99" s="147">
        <v>8316</v>
      </c>
      <c r="BJ99" s="147">
        <v>2815</v>
      </c>
      <c r="BK99" s="147">
        <v>1657</v>
      </c>
      <c r="BL99" s="147">
        <v>163</v>
      </c>
      <c r="BM99" s="147">
        <v>51750</v>
      </c>
      <c r="BN99" s="147">
        <v>24084</v>
      </c>
      <c r="BO99" s="199">
        <v>477</v>
      </c>
      <c r="BP99" s="147">
        <v>21460</v>
      </c>
      <c r="BQ99" s="147">
        <v>15739</v>
      </c>
      <c r="BR99" s="145">
        <v>22064</v>
      </c>
      <c r="BS99" s="199">
        <v>0</v>
      </c>
      <c r="BT99" s="147">
        <v>55233</v>
      </c>
      <c r="BU99" s="147">
        <v>19448</v>
      </c>
      <c r="BV99" s="147">
        <v>44544</v>
      </c>
      <c r="BW99" s="147">
        <v>29404</v>
      </c>
      <c r="BX99" s="147">
        <v>61788</v>
      </c>
      <c r="BY99" s="147">
        <v>28518</v>
      </c>
      <c r="BZ99" s="147">
        <v>53603</v>
      </c>
      <c r="CA99" s="147">
        <v>19955</v>
      </c>
      <c r="CB99" s="145">
        <v>54105</v>
      </c>
      <c r="CC99" s="147">
        <v>51966</v>
      </c>
      <c r="CD99" s="147">
        <v>9443</v>
      </c>
      <c r="CE99" s="147">
        <v>19008</v>
      </c>
      <c r="CF99" s="147">
        <v>6155</v>
      </c>
      <c r="CG99" s="147">
        <v>113394</v>
      </c>
      <c r="CH99" s="147">
        <v>219991</v>
      </c>
      <c r="CI99" s="147">
        <v>71575</v>
      </c>
      <c r="CJ99" s="147">
        <v>437632</v>
      </c>
      <c r="CK99" s="198">
        <v>80123</v>
      </c>
      <c r="CL99" s="163">
        <v>2143775</v>
      </c>
    </row>
    <row r="100" spans="1:90">
      <c r="A100" s="93">
        <f>ROWS($A$3:A98)</f>
        <v>96</v>
      </c>
      <c r="B100" s="63"/>
      <c r="C100" s="243"/>
      <c r="D100" s="314"/>
      <c r="E100" s="333"/>
      <c r="F100" s="194" t="s">
        <v>245</v>
      </c>
      <c r="G100" s="195" t="s">
        <v>245</v>
      </c>
      <c r="H100" s="195" t="s">
        <v>245</v>
      </c>
      <c r="I100" s="196" t="s">
        <v>245</v>
      </c>
      <c r="J100" s="348"/>
      <c r="K100" s="197" t="s">
        <v>245</v>
      </c>
      <c r="L100" s="147" t="s">
        <v>245</v>
      </c>
      <c r="M100" s="147" t="s">
        <v>245</v>
      </c>
      <c r="N100" s="147" t="s">
        <v>245</v>
      </c>
      <c r="O100" s="147" t="s">
        <v>245</v>
      </c>
      <c r="P100" s="147" t="s">
        <v>229</v>
      </c>
      <c r="Q100" s="147" t="s">
        <v>245</v>
      </c>
      <c r="R100" s="147" t="s">
        <v>230</v>
      </c>
      <c r="S100" s="147" t="s">
        <v>245</v>
      </c>
      <c r="T100" s="147" t="s">
        <v>245</v>
      </c>
      <c r="U100" s="145" t="s">
        <v>245</v>
      </c>
      <c r="V100" s="147" t="s">
        <v>231</v>
      </c>
      <c r="W100" s="147" t="s">
        <v>245</v>
      </c>
      <c r="X100" s="147" t="s">
        <v>232</v>
      </c>
      <c r="Y100" s="147" t="s">
        <v>233</v>
      </c>
      <c r="Z100" s="147" t="s">
        <v>245</v>
      </c>
      <c r="AA100" s="147" t="s">
        <v>234</v>
      </c>
      <c r="AB100" s="145" t="s">
        <v>245</v>
      </c>
      <c r="AC100" s="147" t="s">
        <v>245</v>
      </c>
      <c r="AD100" s="147" t="s">
        <v>245</v>
      </c>
      <c r="AE100" s="147" t="s">
        <v>235</v>
      </c>
      <c r="AF100" s="147" t="s">
        <v>245</v>
      </c>
      <c r="AG100" s="147" t="s">
        <v>245</v>
      </c>
      <c r="AH100" s="147" t="s">
        <v>245</v>
      </c>
      <c r="AI100" s="147" t="s">
        <v>245</v>
      </c>
      <c r="AJ100" s="147" t="s">
        <v>245</v>
      </c>
      <c r="AK100" s="145" t="s">
        <v>245</v>
      </c>
      <c r="AL100" s="147" t="s">
        <v>245</v>
      </c>
      <c r="AM100" s="147" t="s">
        <v>245</v>
      </c>
      <c r="AN100" s="147" t="s">
        <v>245</v>
      </c>
      <c r="AO100" s="147" t="s">
        <v>245</v>
      </c>
      <c r="AP100" s="147" t="s">
        <v>245</v>
      </c>
      <c r="AQ100" s="147" t="s">
        <v>245</v>
      </c>
      <c r="AR100" s="147" t="s">
        <v>245</v>
      </c>
      <c r="AS100" s="198" t="s">
        <v>236</v>
      </c>
      <c r="AT100" s="147" t="s">
        <v>245</v>
      </c>
      <c r="AU100" s="147" t="s">
        <v>245</v>
      </c>
      <c r="AV100" s="147" t="s">
        <v>245</v>
      </c>
      <c r="AW100" s="147" t="s">
        <v>245</v>
      </c>
      <c r="AX100" s="147" t="s">
        <v>245</v>
      </c>
      <c r="AY100" s="147" t="s">
        <v>245</v>
      </c>
      <c r="AZ100" s="147" t="s">
        <v>245</v>
      </c>
      <c r="BA100" s="147" t="s">
        <v>245</v>
      </c>
      <c r="BB100" s="147" t="s">
        <v>245</v>
      </c>
      <c r="BC100" s="147" t="s">
        <v>245</v>
      </c>
      <c r="BD100" s="147" t="s">
        <v>245</v>
      </c>
      <c r="BE100" s="147" t="s">
        <v>245</v>
      </c>
      <c r="BF100" s="145" t="s">
        <v>245</v>
      </c>
      <c r="BG100" s="199" t="s">
        <v>245</v>
      </c>
      <c r="BH100" s="147" t="s">
        <v>245</v>
      </c>
      <c r="BI100" s="147" t="s">
        <v>245</v>
      </c>
      <c r="BJ100" s="147" t="s">
        <v>245</v>
      </c>
      <c r="BK100" s="147" t="s">
        <v>245</v>
      </c>
      <c r="BL100" s="147" t="s">
        <v>245</v>
      </c>
      <c r="BM100" s="147" t="s">
        <v>245</v>
      </c>
      <c r="BN100" s="147" t="s">
        <v>245</v>
      </c>
      <c r="BO100" s="199" t="s">
        <v>245</v>
      </c>
      <c r="BP100" s="147" t="s">
        <v>245</v>
      </c>
      <c r="BQ100" s="147" t="s">
        <v>245</v>
      </c>
      <c r="BR100" s="145" t="s">
        <v>245</v>
      </c>
      <c r="BS100" s="199" t="s">
        <v>245</v>
      </c>
      <c r="BT100" s="147" t="s">
        <v>245</v>
      </c>
      <c r="BU100" s="147" t="s">
        <v>245</v>
      </c>
      <c r="BV100" s="147" t="s">
        <v>245</v>
      </c>
      <c r="BW100" s="147" t="s">
        <v>245</v>
      </c>
      <c r="BX100" s="147" t="s">
        <v>245</v>
      </c>
      <c r="BY100" s="147" t="s">
        <v>245</v>
      </c>
      <c r="BZ100" s="147" t="s">
        <v>245</v>
      </c>
      <c r="CA100" s="147" t="s">
        <v>245</v>
      </c>
      <c r="CB100" s="145" t="s">
        <v>245</v>
      </c>
      <c r="CC100" s="147" t="s">
        <v>245</v>
      </c>
      <c r="CD100" s="147" t="s">
        <v>245</v>
      </c>
      <c r="CE100" s="147" t="s">
        <v>245</v>
      </c>
      <c r="CF100" s="147" t="s">
        <v>245</v>
      </c>
      <c r="CG100" s="147" t="s">
        <v>245</v>
      </c>
      <c r="CH100" s="147" t="s">
        <v>245</v>
      </c>
      <c r="CI100" s="147" t="s">
        <v>245</v>
      </c>
      <c r="CJ100" s="147" t="s">
        <v>245</v>
      </c>
      <c r="CK100" s="198" t="s">
        <v>245</v>
      </c>
      <c r="CL100" s="163" t="s">
        <v>245</v>
      </c>
    </row>
    <row r="101" spans="1:90">
      <c r="A101" s="93">
        <f>ROWS($A$3:A99)</f>
        <v>97</v>
      </c>
      <c r="B101" s="63" t="s">
        <v>275</v>
      </c>
      <c r="C101" s="243">
        <f>C86</f>
        <v>2009</v>
      </c>
      <c r="D101" s="314" t="s">
        <v>14</v>
      </c>
      <c r="E101" s="316">
        <v>40680</v>
      </c>
      <c r="F101" s="194">
        <v>2660</v>
      </c>
      <c r="G101" s="195">
        <v>1007</v>
      </c>
      <c r="H101" s="195">
        <v>1415</v>
      </c>
      <c r="I101" s="196">
        <v>1305</v>
      </c>
      <c r="J101" s="348"/>
      <c r="K101" s="197">
        <f t="shared" ref="K101:K107" si="213">BF101</f>
        <v>169</v>
      </c>
      <c r="L101" s="147">
        <f t="shared" ref="L101:L107" si="214">AY101</f>
        <v>205</v>
      </c>
      <c r="M101" s="147">
        <f t="shared" ref="M101:M107" si="215">BD101</f>
        <v>130</v>
      </c>
      <c r="N101" s="147">
        <f t="shared" ref="N101:N107" si="216">AW101</f>
        <v>173</v>
      </c>
      <c r="O101" s="147">
        <f t="shared" ref="O101:O107" si="217">BE101</f>
        <v>91</v>
      </c>
      <c r="P101" s="147">
        <f>'2009'!AZ101+'2009'!BA101</f>
        <v>658</v>
      </c>
      <c r="Q101" s="147">
        <f>'2009'!AU101</f>
        <v>260</v>
      </c>
      <c r="R101" s="147">
        <f t="shared" ref="R101:R107" si="218">AT101+AX101</f>
        <v>406</v>
      </c>
      <c r="S101" s="147">
        <f t="shared" ref="S101:S107" si="219">AV101</f>
        <v>293</v>
      </c>
      <c r="T101" s="147">
        <f t="shared" ref="T101:U107" si="220">BB101</f>
        <v>83</v>
      </c>
      <c r="U101" s="145">
        <f t="shared" si="220"/>
        <v>192</v>
      </c>
      <c r="V101" s="147">
        <f t="shared" ref="V101:V107" si="221">BG101+BJ101</f>
        <v>86</v>
      </c>
      <c r="W101" s="147">
        <f t="shared" ref="W101:W107" si="222">BR101</f>
        <v>71</v>
      </c>
      <c r="X101" s="147">
        <f t="shared" ref="X101:X107" si="223">BH101+BI101</f>
        <v>441</v>
      </c>
      <c r="Y101" s="147">
        <f t="shared" ref="Y101:Y107" si="224">BK101+BL101+BN101</f>
        <v>96</v>
      </c>
      <c r="Z101" s="147">
        <f t="shared" ref="Z101:Z107" si="225">BM101</f>
        <v>176</v>
      </c>
      <c r="AA101" s="147">
        <f t="shared" ref="AA101:AA107" si="226">BO101+BQ101</f>
        <v>68</v>
      </c>
      <c r="AB101" s="145">
        <f t="shared" ref="AB101:AB107" si="227">BP101</f>
        <v>69</v>
      </c>
      <c r="AC101" s="147">
        <f t="shared" ref="AC101:AC107" si="228">BX101</f>
        <v>109</v>
      </c>
      <c r="AD101" s="147">
        <f t="shared" ref="AD101:AD107" si="229">BU101</f>
        <v>179</v>
      </c>
      <c r="AE101" s="147">
        <f t="shared" ref="AE101:AE107" si="230">BS101+BT101</f>
        <v>270</v>
      </c>
      <c r="AF101" s="147">
        <f t="shared" ref="AF101:AF107" si="231">CA101</f>
        <v>63</v>
      </c>
      <c r="AG101" s="147">
        <f t="shared" ref="AG101:AG107" si="232">BV101</f>
        <v>386</v>
      </c>
      <c r="AH101" s="147">
        <f t="shared" ref="AH101:AH107" si="233">BZ101</f>
        <v>107</v>
      </c>
      <c r="AI101" s="147">
        <f t="shared" ref="AI101:AI107" si="234">BW101</f>
        <v>118</v>
      </c>
      <c r="AJ101" s="147">
        <f t="shared" ref="AJ101:AJ107" si="235">BY101</f>
        <v>153</v>
      </c>
      <c r="AK101" s="145">
        <f t="shared" ref="AK101:AK107" si="236">CB101</f>
        <v>30</v>
      </c>
      <c r="AL101" s="147">
        <f t="shared" ref="AL101:AL107" si="237">CE101</f>
        <v>221</v>
      </c>
      <c r="AM101" s="147">
        <f t="shared" ref="AM101:AM107" si="238">CH101</f>
        <v>145</v>
      </c>
      <c r="AN101" s="147">
        <f t="shared" ref="AN101:AN107" si="239">CJ101</f>
        <v>128</v>
      </c>
      <c r="AO101" s="147">
        <f t="shared" ref="AO101:AP107" si="240">CC101</f>
        <v>185</v>
      </c>
      <c r="AP101" s="147">
        <f t="shared" si="240"/>
        <v>135</v>
      </c>
      <c r="AQ101" s="147">
        <f t="shared" ref="AQ101:AQ107" si="241">CK101</f>
        <v>190</v>
      </c>
      <c r="AR101" s="147">
        <f t="shared" ref="AR101:AR107" si="242">CI101</f>
        <v>55</v>
      </c>
      <c r="AS101" s="198">
        <f t="shared" ref="AS101:AS107" si="243">CF101+CG101</f>
        <v>246</v>
      </c>
      <c r="AT101" s="147">
        <v>37</v>
      </c>
      <c r="AU101" s="147">
        <v>260</v>
      </c>
      <c r="AV101" s="147">
        <v>293</v>
      </c>
      <c r="AW101" s="147">
        <v>173</v>
      </c>
      <c r="AX101" s="147">
        <v>369</v>
      </c>
      <c r="AY101" s="147">
        <v>205</v>
      </c>
      <c r="AZ101" s="147">
        <v>57</v>
      </c>
      <c r="BA101" s="147">
        <v>601</v>
      </c>
      <c r="BB101" s="147">
        <v>83</v>
      </c>
      <c r="BC101" s="147">
        <v>192</v>
      </c>
      <c r="BD101" s="147">
        <v>130</v>
      </c>
      <c r="BE101" s="147">
        <v>91</v>
      </c>
      <c r="BF101" s="145">
        <v>169</v>
      </c>
      <c r="BG101" s="199">
        <v>15</v>
      </c>
      <c r="BH101" s="147">
        <v>17</v>
      </c>
      <c r="BI101" s="147">
        <v>424</v>
      </c>
      <c r="BJ101" s="147">
        <v>71</v>
      </c>
      <c r="BK101" s="147">
        <v>7</v>
      </c>
      <c r="BL101" s="147">
        <v>3</v>
      </c>
      <c r="BM101" s="147">
        <v>176</v>
      </c>
      <c r="BN101" s="147">
        <v>86</v>
      </c>
      <c r="BO101" s="199">
        <v>8</v>
      </c>
      <c r="BP101" s="147">
        <v>69</v>
      </c>
      <c r="BQ101" s="147">
        <v>60</v>
      </c>
      <c r="BR101" s="145">
        <v>71</v>
      </c>
      <c r="BS101" s="199">
        <v>75</v>
      </c>
      <c r="BT101" s="147">
        <v>195</v>
      </c>
      <c r="BU101" s="147">
        <v>179</v>
      </c>
      <c r="BV101" s="147">
        <v>386</v>
      </c>
      <c r="BW101" s="147">
        <v>118</v>
      </c>
      <c r="BX101" s="147">
        <v>109</v>
      </c>
      <c r="BY101" s="147">
        <v>153</v>
      </c>
      <c r="BZ101" s="147">
        <v>107</v>
      </c>
      <c r="CA101" s="147">
        <v>63</v>
      </c>
      <c r="CB101" s="145">
        <v>30</v>
      </c>
      <c r="CC101" s="147">
        <v>185</v>
      </c>
      <c r="CD101" s="147">
        <v>135</v>
      </c>
      <c r="CE101" s="147">
        <v>221</v>
      </c>
      <c r="CF101" s="147">
        <v>10</v>
      </c>
      <c r="CG101" s="147">
        <v>236</v>
      </c>
      <c r="CH101" s="147">
        <v>145</v>
      </c>
      <c r="CI101" s="147">
        <v>55</v>
      </c>
      <c r="CJ101" s="147">
        <v>128</v>
      </c>
      <c r="CK101" s="198">
        <v>190</v>
      </c>
      <c r="CL101" s="163">
        <v>6387</v>
      </c>
    </row>
    <row r="102" spans="1:90">
      <c r="A102" s="93">
        <f>ROWS($A$3:A100)</f>
        <v>98</v>
      </c>
      <c r="B102" s="63"/>
      <c r="C102" s="243"/>
      <c r="D102" s="314"/>
      <c r="E102" s="333"/>
      <c r="F102" s="194"/>
      <c r="G102" s="195"/>
      <c r="H102" s="195"/>
      <c r="I102" s="196"/>
      <c r="J102" s="348"/>
      <c r="K102" s="197">
        <f t="shared" si="213"/>
        <v>0</v>
      </c>
      <c r="L102" s="147">
        <f t="shared" si="214"/>
        <v>0</v>
      </c>
      <c r="M102" s="147">
        <f t="shared" si="215"/>
        <v>0</v>
      </c>
      <c r="N102" s="147">
        <f t="shared" si="216"/>
        <v>0</v>
      </c>
      <c r="O102" s="147">
        <f t="shared" si="217"/>
        <v>0</v>
      </c>
      <c r="P102" s="147">
        <f>'2009'!AZ102+'2009'!BA102</f>
        <v>0</v>
      </c>
      <c r="Q102" s="147">
        <f>'2009'!AU102</f>
        <v>0</v>
      </c>
      <c r="R102" s="147">
        <f t="shared" si="218"/>
        <v>0</v>
      </c>
      <c r="S102" s="147">
        <f t="shared" si="219"/>
        <v>0</v>
      </c>
      <c r="T102" s="147">
        <f t="shared" si="220"/>
        <v>0</v>
      </c>
      <c r="U102" s="145">
        <f t="shared" si="220"/>
        <v>0</v>
      </c>
      <c r="V102" s="147">
        <f t="shared" si="221"/>
        <v>0</v>
      </c>
      <c r="W102" s="147">
        <f t="shared" si="222"/>
        <v>0</v>
      </c>
      <c r="X102" s="147">
        <f t="shared" si="223"/>
        <v>0</v>
      </c>
      <c r="Y102" s="147">
        <f t="shared" si="224"/>
        <v>0</v>
      </c>
      <c r="Z102" s="147">
        <f t="shared" si="225"/>
        <v>0</v>
      </c>
      <c r="AA102" s="147">
        <f t="shared" si="226"/>
        <v>0</v>
      </c>
      <c r="AB102" s="145">
        <f t="shared" si="227"/>
        <v>0</v>
      </c>
      <c r="AC102" s="147">
        <f t="shared" si="228"/>
        <v>0</v>
      </c>
      <c r="AD102" s="147">
        <f t="shared" si="229"/>
        <v>0</v>
      </c>
      <c r="AE102" s="147">
        <f t="shared" si="230"/>
        <v>0</v>
      </c>
      <c r="AF102" s="147">
        <f t="shared" si="231"/>
        <v>0</v>
      </c>
      <c r="AG102" s="147">
        <f t="shared" si="232"/>
        <v>0</v>
      </c>
      <c r="AH102" s="147">
        <f t="shared" si="233"/>
        <v>0</v>
      </c>
      <c r="AI102" s="147">
        <f t="shared" si="234"/>
        <v>0</v>
      </c>
      <c r="AJ102" s="147">
        <f t="shared" si="235"/>
        <v>0</v>
      </c>
      <c r="AK102" s="145">
        <f t="shared" si="236"/>
        <v>0</v>
      </c>
      <c r="AL102" s="147">
        <f t="shared" si="237"/>
        <v>0</v>
      </c>
      <c r="AM102" s="147">
        <f t="shared" si="238"/>
        <v>0</v>
      </c>
      <c r="AN102" s="147">
        <f t="shared" si="239"/>
        <v>0</v>
      </c>
      <c r="AO102" s="147">
        <f t="shared" si="240"/>
        <v>0</v>
      </c>
      <c r="AP102" s="147">
        <f t="shared" si="240"/>
        <v>0</v>
      </c>
      <c r="AQ102" s="147">
        <f t="shared" si="241"/>
        <v>0</v>
      </c>
      <c r="AR102" s="147">
        <f t="shared" si="242"/>
        <v>0</v>
      </c>
      <c r="AS102" s="198">
        <f t="shared" si="243"/>
        <v>0</v>
      </c>
      <c r="AT102" s="147">
        <v>0</v>
      </c>
      <c r="AU102" s="147"/>
      <c r="AV102" s="147"/>
      <c r="AW102" s="147"/>
      <c r="AX102" s="147"/>
      <c r="AY102" s="147"/>
      <c r="AZ102" s="147"/>
      <c r="BA102" s="147"/>
      <c r="BB102" s="147"/>
      <c r="BC102" s="147"/>
      <c r="BD102" s="147"/>
      <c r="BE102" s="147"/>
      <c r="BF102" s="145"/>
      <c r="BG102" s="199"/>
      <c r="BH102" s="147"/>
      <c r="BI102" s="147"/>
      <c r="BJ102" s="147"/>
      <c r="BK102" s="147"/>
      <c r="BL102" s="147"/>
      <c r="BM102" s="147"/>
      <c r="BN102" s="147"/>
      <c r="BO102" s="199"/>
      <c r="BP102" s="147"/>
      <c r="BQ102" s="147"/>
      <c r="BR102" s="145"/>
      <c r="BS102" s="199"/>
      <c r="BT102" s="147"/>
      <c r="BU102" s="147"/>
      <c r="BV102" s="147"/>
      <c r="BW102" s="147"/>
      <c r="BX102" s="147"/>
      <c r="BY102" s="147"/>
      <c r="BZ102" s="147"/>
      <c r="CA102" s="147"/>
      <c r="CB102" s="145"/>
      <c r="CC102" s="147"/>
      <c r="CD102" s="147"/>
      <c r="CE102" s="147"/>
      <c r="CF102" s="147"/>
      <c r="CG102" s="147"/>
      <c r="CH102" s="147"/>
      <c r="CI102" s="147"/>
      <c r="CJ102" s="147"/>
      <c r="CK102" s="198"/>
      <c r="CL102" s="163"/>
    </row>
    <row r="103" spans="1:90">
      <c r="A103" s="93">
        <f>ROWS($A$3:A101)</f>
        <v>99</v>
      </c>
      <c r="B103" s="63"/>
      <c r="C103" s="243"/>
      <c r="D103" s="314"/>
      <c r="E103" s="333"/>
      <c r="F103" s="194"/>
      <c r="G103" s="195"/>
      <c r="H103" s="195"/>
      <c r="I103" s="196"/>
      <c r="J103" s="195"/>
      <c r="K103" s="197">
        <f t="shared" si="213"/>
        <v>0</v>
      </c>
      <c r="L103" s="147">
        <f t="shared" si="214"/>
        <v>0</v>
      </c>
      <c r="M103" s="147">
        <f t="shared" si="215"/>
        <v>0</v>
      </c>
      <c r="N103" s="147">
        <f t="shared" si="216"/>
        <v>0</v>
      </c>
      <c r="O103" s="147">
        <f t="shared" si="217"/>
        <v>0</v>
      </c>
      <c r="P103" s="147">
        <f>'2009'!AZ103+'2009'!BA103</f>
        <v>0</v>
      </c>
      <c r="Q103" s="147">
        <f>'2009'!AU103</f>
        <v>0</v>
      </c>
      <c r="R103" s="147">
        <f t="shared" si="218"/>
        <v>0</v>
      </c>
      <c r="S103" s="147">
        <f t="shared" si="219"/>
        <v>0</v>
      </c>
      <c r="T103" s="147">
        <f t="shared" si="220"/>
        <v>0</v>
      </c>
      <c r="U103" s="145">
        <f t="shared" si="220"/>
        <v>0</v>
      </c>
      <c r="V103" s="147">
        <f t="shared" si="221"/>
        <v>0</v>
      </c>
      <c r="W103" s="147">
        <f t="shared" si="222"/>
        <v>0</v>
      </c>
      <c r="X103" s="147">
        <f t="shared" si="223"/>
        <v>0</v>
      </c>
      <c r="Y103" s="147">
        <f t="shared" si="224"/>
        <v>0</v>
      </c>
      <c r="Z103" s="147">
        <f t="shared" si="225"/>
        <v>0</v>
      </c>
      <c r="AA103" s="147">
        <f t="shared" si="226"/>
        <v>0</v>
      </c>
      <c r="AB103" s="145">
        <f t="shared" si="227"/>
        <v>0</v>
      </c>
      <c r="AC103" s="147">
        <f t="shared" si="228"/>
        <v>0</v>
      </c>
      <c r="AD103" s="147">
        <f t="shared" si="229"/>
        <v>0</v>
      </c>
      <c r="AE103" s="147">
        <f t="shared" si="230"/>
        <v>0</v>
      </c>
      <c r="AF103" s="147">
        <f t="shared" si="231"/>
        <v>0</v>
      </c>
      <c r="AG103" s="147">
        <f t="shared" si="232"/>
        <v>0</v>
      </c>
      <c r="AH103" s="147">
        <f t="shared" si="233"/>
        <v>0</v>
      </c>
      <c r="AI103" s="147">
        <f t="shared" si="234"/>
        <v>0</v>
      </c>
      <c r="AJ103" s="147">
        <f t="shared" si="235"/>
        <v>0</v>
      </c>
      <c r="AK103" s="145">
        <f t="shared" si="236"/>
        <v>0</v>
      </c>
      <c r="AL103" s="147">
        <f t="shared" si="237"/>
        <v>0</v>
      </c>
      <c r="AM103" s="147">
        <f t="shared" si="238"/>
        <v>0</v>
      </c>
      <c r="AN103" s="147">
        <f t="shared" si="239"/>
        <v>0</v>
      </c>
      <c r="AO103" s="147">
        <f t="shared" si="240"/>
        <v>0</v>
      </c>
      <c r="AP103" s="147">
        <f t="shared" si="240"/>
        <v>0</v>
      </c>
      <c r="AQ103" s="147">
        <f t="shared" si="241"/>
        <v>0</v>
      </c>
      <c r="AR103" s="147">
        <f t="shared" si="242"/>
        <v>0</v>
      </c>
      <c r="AS103" s="198">
        <f t="shared" si="243"/>
        <v>0</v>
      </c>
      <c r="AT103" s="147">
        <v>0</v>
      </c>
      <c r="AU103" s="147"/>
      <c r="AV103" s="147"/>
      <c r="AW103" s="147"/>
      <c r="AX103" s="147"/>
      <c r="AY103" s="147"/>
      <c r="AZ103" s="147"/>
      <c r="BA103" s="147"/>
      <c r="BB103" s="147"/>
      <c r="BC103" s="147"/>
      <c r="BD103" s="147"/>
      <c r="BE103" s="147"/>
      <c r="BF103" s="145"/>
      <c r="BG103" s="199"/>
      <c r="BH103" s="147"/>
      <c r="BI103" s="147"/>
      <c r="BJ103" s="147"/>
      <c r="BK103" s="147"/>
      <c r="BL103" s="147"/>
      <c r="BM103" s="147"/>
      <c r="BN103" s="147"/>
      <c r="BO103" s="199"/>
      <c r="BP103" s="147"/>
      <c r="BQ103" s="147"/>
      <c r="BR103" s="145"/>
      <c r="BS103" s="199"/>
      <c r="BT103" s="147"/>
      <c r="BU103" s="147"/>
      <c r="BV103" s="147"/>
      <c r="BW103" s="147"/>
      <c r="BX103" s="147"/>
      <c r="BY103" s="147"/>
      <c r="BZ103" s="147"/>
      <c r="CA103" s="147"/>
      <c r="CB103" s="145"/>
      <c r="CC103" s="147"/>
      <c r="CD103" s="147"/>
      <c r="CE103" s="147"/>
      <c r="CF103" s="147"/>
      <c r="CG103" s="147"/>
      <c r="CH103" s="147"/>
      <c r="CI103" s="147"/>
      <c r="CJ103" s="147"/>
      <c r="CK103" s="198"/>
      <c r="CL103" s="163"/>
    </row>
    <row r="104" spans="1:90">
      <c r="A104" s="93">
        <f>ROWS($A$3:A102)</f>
        <v>100</v>
      </c>
      <c r="B104" s="63"/>
      <c r="C104" s="243"/>
      <c r="D104" s="314"/>
      <c r="E104" s="333"/>
      <c r="F104" s="194"/>
      <c r="G104" s="195"/>
      <c r="H104" s="195"/>
      <c r="I104" s="196"/>
      <c r="J104" s="195"/>
      <c r="K104" s="197">
        <f t="shared" si="213"/>
        <v>0</v>
      </c>
      <c r="L104" s="147">
        <f t="shared" si="214"/>
        <v>0</v>
      </c>
      <c r="M104" s="147">
        <f t="shared" si="215"/>
        <v>0</v>
      </c>
      <c r="N104" s="147">
        <f t="shared" si="216"/>
        <v>0</v>
      </c>
      <c r="O104" s="147">
        <f t="shared" si="217"/>
        <v>0</v>
      </c>
      <c r="P104" s="147">
        <f>'2009'!AZ104+'2009'!BA104</f>
        <v>0</v>
      </c>
      <c r="Q104" s="147">
        <f>'2009'!AU104</f>
        <v>0</v>
      </c>
      <c r="R104" s="147">
        <f t="shared" si="218"/>
        <v>0</v>
      </c>
      <c r="S104" s="147">
        <f t="shared" si="219"/>
        <v>0</v>
      </c>
      <c r="T104" s="147">
        <f t="shared" si="220"/>
        <v>0</v>
      </c>
      <c r="U104" s="145">
        <f t="shared" si="220"/>
        <v>0</v>
      </c>
      <c r="V104" s="147">
        <f t="shared" si="221"/>
        <v>0</v>
      </c>
      <c r="W104" s="147">
        <f t="shared" si="222"/>
        <v>0</v>
      </c>
      <c r="X104" s="147">
        <f t="shared" si="223"/>
        <v>0</v>
      </c>
      <c r="Y104" s="147">
        <f t="shared" si="224"/>
        <v>0</v>
      </c>
      <c r="Z104" s="147">
        <f t="shared" si="225"/>
        <v>0</v>
      </c>
      <c r="AA104" s="147">
        <f t="shared" si="226"/>
        <v>0</v>
      </c>
      <c r="AB104" s="145">
        <f t="shared" si="227"/>
        <v>0</v>
      </c>
      <c r="AC104" s="147">
        <f t="shared" si="228"/>
        <v>0</v>
      </c>
      <c r="AD104" s="147">
        <f t="shared" si="229"/>
        <v>0</v>
      </c>
      <c r="AE104" s="147">
        <f t="shared" si="230"/>
        <v>0</v>
      </c>
      <c r="AF104" s="147">
        <f t="shared" si="231"/>
        <v>0</v>
      </c>
      <c r="AG104" s="147">
        <f t="shared" si="232"/>
        <v>0</v>
      </c>
      <c r="AH104" s="147">
        <f t="shared" si="233"/>
        <v>0</v>
      </c>
      <c r="AI104" s="147">
        <f t="shared" si="234"/>
        <v>0</v>
      </c>
      <c r="AJ104" s="147">
        <f t="shared" si="235"/>
        <v>0</v>
      </c>
      <c r="AK104" s="145">
        <f t="shared" si="236"/>
        <v>0</v>
      </c>
      <c r="AL104" s="147">
        <f t="shared" si="237"/>
        <v>0</v>
      </c>
      <c r="AM104" s="147">
        <f t="shared" si="238"/>
        <v>0</v>
      </c>
      <c r="AN104" s="147">
        <f t="shared" si="239"/>
        <v>0</v>
      </c>
      <c r="AO104" s="147">
        <f t="shared" si="240"/>
        <v>0</v>
      </c>
      <c r="AP104" s="147">
        <f t="shared" si="240"/>
        <v>0</v>
      </c>
      <c r="AQ104" s="147">
        <f t="shared" si="241"/>
        <v>0</v>
      </c>
      <c r="AR104" s="147">
        <f t="shared" si="242"/>
        <v>0</v>
      </c>
      <c r="AS104" s="198">
        <f t="shared" si="243"/>
        <v>0</v>
      </c>
      <c r="AT104" s="147">
        <v>0</v>
      </c>
      <c r="AU104" s="147"/>
      <c r="AV104" s="147"/>
      <c r="AW104" s="147"/>
      <c r="AX104" s="147"/>
      <c r="AY104" s="147"/>
      <c r="AZ104" s="147"/>
      <c r="BA104" s="147"/>
      <c r="BB104" s="147"/>
      <c r="BC104" s="147"/>
      <c r="BD104" s="147"/>
      <c r="BE104" s="147"/>
      <c r="BF104" s="145"/>
      <c r="BG104" s="199"/>
      <c r="BH104" s="147"/>
      <c r="BI104" s="147"/>
      <c r="BJ104" s="147"/>
      <c r="BK104" s="147"/>
      <c r="BL104" s="147"/>
      <c r="BM104" s="147"/>
      <c r="BN104" s="147"/>
      <c r="BO104" s="199"/>
      <c r="BP104" s="147"/>
      <c r="BQ104" s="147"/>
      <c r="BR104" s="145"/>
      <c r="BS104" s="199"/>
      <c r="BT104" s="147"/>
      <c r="BU104" s="147"/>
      <c r="BV104" s="147"/>
      <c r="BW104" s="147"/>
      <c r="BX104" s="147"/>
      <c r="BY104" s="147"/>
      <c r="BZ104" s="147"/>
      <c r="CA104" s="147"/>
      <c r="CB104" s="145"/>
      <c r="CC104" s="147"/>
      <c r="CD104" s="147"/>
      <c r="CE104" s="147"/>
      <c r="CF104" s="147"/>
      <c r="CG104" s="147"/>
      <c r="CH104" s="147"/>
      <c r="CI104" s="147"/>
      <c r="CJ104" s="147"/>
      <c r="CK104" s="198"/>
      <c r="CL104" s="163"/>
    </row>
    <row r="105" spans="1:90">
      <c r="A105" s="93">
        <f>ROWS($A$3:A103)</f>
        <v>101</v>
      </c>
      <c r="B105" s="63"/>
      <c r="C105" s="243"/>
      <c r="D105" s="314"/>
      <c r="E105" s="333"/>
      <c r="F105" s="194"/>
      <c r="G105" s="195"/>
      <c r="H105" s="195"/>
      <c r="I105" s="196"/>
      <c r="J105" s="195"/>
      <c r="K105" s="197">
        <f t="shared" si="213"/>
        <v>0</v>
      </c>
      <c r="L105" s="147">
        <f t="shared" si="214"/>
        <v>0</v>
      </c>
      <c r="M105" s="147">
        <f t="shared" si="215"/>
        <v>0</v>
      </c>
      <c r="N105" s="147">
        <f t="shared" si="216"/>
        <v>0</v>
      </c>
      <c r="O105" s="147">
        <f t="shared" si="217"/>
        <v>0</v>
      </c>
      <c r="P105" s="147">
        <f>'2009'!AZ105+'2009'!BA105</f>
        <v>0</v>
      </c>
      <c r="Q105" s="147">
        <f>'2009'!AU105</f>
        <v>0</v>
      </c>
      <c r="R105" s="147">
        <f t="shared" si="218"/>
        <v>0</v>
      </c>
      <c r="S105" s="147">
        <f t="shared" si="219"/>
        <v>0</v>
      </c>
      <c r="T105" s="147">
        <f t="shared" si="220"/>
        <v>0</v>
      </c>
      <c r="U105" s="145">
        <f t="shared" si="220"/>
        <v>0</v>
      </c>
      <c r="V105" s="147">
        <f t="shared" si="221"/>
        <v>0</v>
      </c>
      <c r="W105" s="147">
        <f t="shared" si="222"/>
        <v>0</v>
      </c>
      <c r="X105" s="147">
        <f t="shared" si="223"/>
        <v>0</v>
      </c>
      <c r="Y105" s="147">
        <f t="shared" si="224"/>
        <v>0</v>
      </c>
      <c r="Z105" s="147">
        <f t="shared" si="225"/>
        <v>0</v>
      </c>
      <c r="AA105" s="147">
        <f t="shared" si="226"/>
        <v>0</v>
      </c>
      <c r="AB105" s="145">
        <f t="shared" si="227"/>
        <v>0</v>
      </c>
      <c r="AC105" s="147">
        <f t="shared" si="228"/>
        <v>0</v>
      </c>
      <c r="AD105" s="147">
        <f t="shared" si="229"/>
        <v>0</v>
      </c>
      <c r="AE105" s="147">
        <f t="shared" si="230"/>
        <v>0</v>
      </c>
      <c r="AF105" s="147">
        <f t="shared" si="231"/>
        <v>0</v>
      </c>
      <c r="AG105" s="147">
        <f t="shared" si="232"/>
        <v>0</v>
      </c>
      <c r="AH105" s="147">
        <f t="shared" si="233"/>
        <v>0</v>
      </c>
      <c r="AI105" s="147">
        <f t="shared" si="234"/>
        <v>0</v>
      </c>
      <c r="AJ105" s="147">
        <f t="shared" si="235"/>
        <v>0</v>
      </c>
      <c r="AK105" s="145">
        <f t="shared" si="236"/>
        <v>0</v>
      </c>
      <c r="AL105" s="147">
        <f t="shared" si="237"/>
        <v>0</v>
      </c>
      <c r="AM105" s="147">
        <f t="shared" si="238"/>
        <v>0</v>
      </c>
      <c r="AN105" s="147">
        <f t="shared" si="239"/>
        <v>0</v>
      </c>
      <c r="AO105" s="147">
        <f t="shared" si="240"/>
        <v>0</v>
      </c>
      <c r="AP105" s="147">
        <f t="shared" si="240"/>
        <v>0</v>
      </c>
      <c r="AQ105" s="147">
        <f t="shared" si="241"/>
        <v>0</v>
      </c>
      <c r="AR105" s="147">
        <f t="shared" si="242"/>
        <v>0</v>
      </c>
      <c r="AS105" s="198">
        <f t="shared" si="243"/>
        <v>0</v>
      </c>
      <c r="AT105" s="147">
        <v>0</v>
      </c>
      <c r="AU105" s="147"/>
      <c r="AV105" s="147"/>
      <c r="AW105" s="147"/>
      <c r="AX105" s="147"/>
      <c r="AY105" s="147"/>
      <c r="AZ105" s="147"/>
      <c r="BA105" s="147"/>
      <c r="BB105" s="147"/>
      <c r="BC105" s="147"/>
      <c r="BD105" s="147"/>
      <c r="BE105" s="147"/>
      <c r="BF105" s="145"/>
      <c r="BG105" s="199"/>
      <c r="BH105" s="147"/>
      <c r="BI105" s="147"/>
      <c r="BJ105" s="147"/>
      <c r="BK105" s="147"/>
      <c r="BL105" s="147"/>
      <c r="BM105" s="147"/>
      <c r="BN105" s="147"/>
      <c r="BO105" s="199"/>
      <c r="BP105" s="147"/>
      <c r="BQ105" s="147"/>
      <c r="BR105" s="145"/>
      <c r="BS105" s="199"/>
      <c r="BT105" s="147"/>
      <c r="BU105" s="147"/>
      <c r="BV105" s="147"/>
      <c r="BW105" s="147"/>
      <c r="BX105" s="147"/>
      <c r="BY105" s="147"/>
      <c r="BZ105" s="147"/>
      <c r="CA105" s="147"/>
      <c r="CB105" s="145"/>
      <c r="CC105" s="147"/>
      <c r="CD105" s="147"/>
      <c r="CE105" s="147"/>
      <c r="CF105" s="147"/>
      <c r="CG105" s="147"/>
      <c r="CH105" s="147"/>
      <c r="CI105" s="147"/>
      <c r="CJ105" s="147"/>
      <c r="CK105" s="198"/>
      <c r="CL105" s="163"/>
    </row>
    <row r="106" spans="1:90">
      <c r="A106" s="93">
        <f>ROWS($A$3:A104)</f>
        <v>102</v>
      </c>
      <c r="B106" s="63"/>
      <c r="C106" s="243"/>
      <c r="D106" s="314"/>
      <c r="E106" s="333"/>
      <c r="F106" s="194"/>
      <c r="G106" s="195"/>
      <c r="H106" s="195"/>
      <c r="I106" s="196"/>
      <c r="J106" s="195"/>
      <c r="K106" s="197">
        <f t="shared" si="213"/>
        <v>0</v>
      </c>
      <c r="L106" s="147">
        <f t="shared" si="214"/>
        <v>0</v>
      </c>
      <c r="M106" s="147">
        <f t="shared" si="215"/>
        <v>0</v>
      </c>
      <c r="N106" s="147">
        <f t="shared" si="216"/>
        <v>0</v>
      </c>
      <c r="O106" s="147">
        <f t="shared" si="217"/>
        <v>0</v>
      </c>
      <c r="P106" s="147">
        <f>'2009'!AZ106+'2009'!BA106</f>
        <v>0</v>
      </c>
      <c r="Q106" s="147">
        <f>'2009'!AU106</f>
        <v>0</v>
      </c>
      <c r="R106" s="147">
        <f t="shared" si="218"/>
        <v>0</v>
      </c>
      <c r="S106" s="147">
        <f t="shared" si="219"/>
        <v>0</v>
      </c>
      <c r="T106" s="147">
        <f t="shared" si="220"/>
        <v>0</v>
      </c>
      <c r="U106" s="145">
        <f t="shared" si="220"/>
        <v>0</v>
      </c>
      <c r="V106" s="147">
        <f t="shared" si="221"/>
        <v>0</v>
      </c>
      <c r="W106" s="147">
        <f t="shared" si="222"/>
        <v>0</v>
      </c>
      <c r="X106" s="147">
        <f t="shared" si="223"/>
        <v>0</v>
      </c>
      <c r="Y106" s="147">
        <f t="shared" si="224"/>
        <v>0</v>
      </c>
      <c r="Z106" s="147">
        <f t="shared" si="225"/>
        <v>0</v>
      </c>
      <c r="AA106" s="147">
        <f t="shared" si="226"/>
        <v>0</v>
      </c>
      <c r="AB106" s="145">
        <f t="shared" si="227"/>
        <v>0</v>
      </c>
      <c r="AC106" s="147">
        <f t="shared" si="228"/>
        <v>0</v>
      </c>
      <c r="AD106" s="147">
        <f t="shared" si="229"/>
        <v>0</v>
      </c>
      <c r="AE106" s="147">
        <f t="shared" si="230"/>
        <v>0</v>
      </c>
      <c r="AF106" s="147">
        <f t="shared" si="231"/>
        <v>0</v>
      </c>
      <c r="AG106" s="147">
        <f t="shared" si="232"/>
        <v>0</v>
      </c>
      <c r="AH106" s="147">
        <f t="shared" si="233"/>
        <v>0</v>
      </c>
      <c r="AI106" s="147">
        <f t="shared" si="234"/>
        <v>0</v>
      </c>
      <c r="AJ106" s="147">
        <f t="shared" si="235"/>
        <v>0</v>
      </c>
      <c r="AK106" s="145">
        <f t="shared" si="236"/>
        <v>0</v>
      </c>
      <c r="AL106" s="147">
        <f t="shared" si="237"/>
        <v>0</v>
      </c>
      <c r="AM106" s="147">
        <f t="shared" si="238"/>
        <v>0</v>
      </c>
      <c r="AN106" s="147">
        <f t="shared" si="239"/>
        <v>0</v>
      </c>
      <c r="AO106" s="147">
        <f t="shared" si="240"/>
        <v>0</v>
      </c>
      <c r="AP106" s="147">
        <f t="shared" si="240"/>
        <v>0</v>
      </c>
      <c r="AQ106" s="147">
        <f t="shared" si="241"/>
        <v>0</v>
      </c>
      <c r="AR106" s="147">
        <f t="shared" si="242"/>
        <v>0</v>
      </c>
      <c r="AS106" s="198">
        <f t="shared" si="243"/>
        <v>0</v>
      </c>
      <c r="AT106" s="147">
        <v>0</v>
      </c>
      <c r="AU106" s="147"/>
      <c r="AV106" s="147"/>
      <c r="AW106" s="147"/>
      <c r="AX106" s="147"/>
      <c r="AY106" s="147"/>
      <c r="AZ106" s="147"/>
      <c r="BA106" s="147"/>
      <c r="BB106" s="147"/>
      <c r="BC106" s="147"/>
      <c r="BD106" s="147"/>
      <c r="BE106" s="147"/>
      <c r="BF106" s="145"/>
      <c r="BG106" s="199"/>
      <c r="BH106" s="147"/>
      <c r="BI106" s="147"/>
      <c r="BJ106" s="147"/>
      <c r="BK106" s="147"/>
      <c r="BL106" s="147"/>
      <c r="BM106" s="147"/>
      <c r="BN106" s="147"/>
      <c r="BO106" s="199"/>
      <c r="BP106" s="147"/>
      <c r="BQ106" s="147"/>
      <c r="BR106" s="145"/>
      <c r="BS106" s="199"/>
      <c r="BT106" s="147"/>
      <c r="BU106" s="147"/>
      <c r="BV106" s="147"/>
      <c r="BW106" s="147"/>
      <c r="BX106" s="147"/>
      <c r="BY106" s="147"/>
      <c r="BZ106" s="147"/>
      <c r="CA106" s="147"/>
      <c r="CB106" s="145"/>
      <c r="CC106" s="147"/>
      <c r="CD106" s="147"/>
      <c r="CE106" s="147"/>
      <c r="CF106" s="147"/>
      <c r="CG106" s="147"/>
      <c r="CH106" s="147"/>
      <c r="CI106" s="147"/>
      <c r="CJ106" s="147"/>
      <c r="CK106" s="198"/>
      <c r="CL106" s="163"/>
    </row>
    <row r="107" spans="1:90" ht="13.5" thickBot="1">
      <c r="A107" s="93">
        <f>ROWS($A$3:A105)</f>
        <v>103</v>
      </c>
      <c r="B107" s="64"/>
      <c r="C107" s="246"/>
      <c r="D107" s="338"/>
      <c r="E107" s="339"/>
      <c r="F107" s="200"/>
      <c r="G107" s="201"/>
      <c r="H107" s="201"/>
      <c r="I107" s="202"/>
      <c r="J107" s="201"/>
      <c r="K107" s="203">
        <f t="shared" si="213"/>
        <v>0</v>
      </c>
      <c r="L107" s="204">
        <f t="shared" si="214"/>
        <v>0</v>
      </c>
      <c r="M107" s="204">
        <f t="shared" si="215"/>
        <v>0</v>
      </c>
      <c r="N107" s="204">
        <f t="shared" si="216"/>
        <v>0</v>
      </c>
      <c r="O107" s="204">
        <f t="shared" si="217"/>
        <v>0</v>
      </c>
      <c r="P107" s="204">
        <f>'2009'!AZ107+'2009'!BA107</f>
        <v>0</v>
      </c>
      <c r="Q107" s="204">
        <f>'2009'!AU107</f>
        <v>0</v>
      </c>
      <c r="R107" s="204">
        <f t="shared" si="218"/>
        <v>0</v>
      </c>
      <c r="S107" s="204">
        <f t="shared" si="219"/>
        <v>0</v>
      </c>
      <c r="T107" s="204">
        <f t="shared" si="220"/>
        <v>0</v>
      </c>
      <c r="U107" s="149">
        <f t="shared" si="220"/>
        <v>0</v>
      </c>
      <c r="V107" s="204">
        <f t="shared" si="221"/>
        <v>0</v>
      </c>
      <c r="W107" s="204">
        <f t="shared" si="222"/>
        <v>0</v>
      </c>
      <c r="X107" s="204">
        <f t="shared" si="223"/>
        <v>0</v>
      </c>
      <c r="Y107" s="204">
        <f t="shared" si="224"/>
        <v>0</v>
      </c>
      <c r="Z107" s="204">
        <f t="shared" si="225"/>
        <v>0</v>
      </c>
      <c r="AA107" s="204">
        <f t="shared" si="226"/>
        <v>0</v>
      </c>
      <c r="AB107" s="149">
        <f t="shared" si="227"/>
        <v>0</v>
      </c>
      <c r="AC107" s="204">
        <f t="shared" si="228"/>
        <v>0</v>
      </c>
      <c r="AD107" s="204">
        <f t="shared" si="229"/>
        <v>0</v>
      </c>
      <c r="AE107" s="204">
        <f t="shared" si="230"/>
        <v>0</v>
      </c>
      <c r="AF107" s="204">
        <f t="shared" si="231"/>
        <v>0</v>
      </c>
      <c r="AG107" s="204">
        <f t="shared" si="232"/>
        <v>0</v>
      </c>
      <c r="AH107" s="204">
        <f t="shared" si="233"/>
        <v>0</v>
      </c>
      <c r="AI107" s="204">
        <f t="shared" si="234"/>
        <v>0</v>
      </c>
      <c r="AJ107" s="204">
        <f t="shared" si="235"/>
        <v>0</v>
      </c>
      <c r="AK107" s="149">
        <f t="shared" si="236"/>
        <v>0</v>
      </c>
      <c r="AL107" s="204">
        <f t="shared" si="237"/>
        <v>0</v>
      </c>
      <c r="AM107" s="204">
        <f t="shared" si="238"/>
        <v>0</v>
      </c>
      <c r="AN107" s="204">
        <f t="shared" si="239"/>
        <v>0</v>
      </c>
      <c r="AO107" s="204">
        <f t="shared" si="240"/>
        <v>0</v>
      </c>
      <c r="AP107" s="204">
        <f t="shared" si="240"/>
        <v>0</v>
      </c>
      <c r="AQ107" s="204">
        <f t="shared" si="241"/>
        <v>0</v>
      </c>
      <c r="AR107" s="204">
        <f t="shared" si="242"/>
        <v>0</v>
      </c>
      <c r="AS107" s="205">
        <f t="shared" si="243"/>
        <v>0</v>
      </c>
      <c r="AT107" s="204">
        <v>0</v>
      </c>
      <c r="AU107" s="204"/>
      <c r="AV107" s="204"/>
      <c r="AW107" s="204"/>
      <c r="AX107" s="204"/>
      <c r="AY107" s="204"/>
      <c r="AZ107" s="204"/>
      <c r="BA107" s="204"/>
      <c r="BB107" s="204"/>
      <c r="BC107" s="204"/>
      <c r="BD107" s="204"/>
      <c r="BE107" s="204"/>
      <c r="BF107" s="149"/>
      <c r="BG107" s="206"/>
      <c r="BH107" s="204"/>
      <c r="BI107" s="204"/>
      <c r="BJ107" s="204"/>
      <c r="BK107" s="204"/>
      <c r="BL107" s="204"/>
      <c r="BM107" s="204"/>
      <c r="BN107" s="204"/>
      <c r="BO107" s="206"/>
      <c r="BP107" s="204"/>
      <c r="BQ107" s="204"/>
      <c r="BR107" s="149"/>
      <c r="BS107" s="206"/>
      <c r="BT107" s="204"/>
      <c r="BU107" s="204"/>
      <c r="BV107" s="204"/>
      <c r="BW107" s="204"/>
      <c r="BX107" s="204"/>
      <c r="BY107" s="204"/>
      <c r="BZ107" s="204"/>
      <c r="CA107" s="204"/>
      <c r="CB107" s="149"/>
      <c r="CC107" s="204"/>
      <c r="CD107" s="204"/>
      <c r="CE107" s="204"/>
      <c r="CF107" s="204"/>
      <c r="CG107" s="204"/>
      <c r="CH107" s="204"/>
      <c r="CI107" s="204"/>
      <c r="CJ107" s="204"/>
      <c r="CK107" s="205"/>
      <c r="CL107" s="164"/>
    </row>
    <row r="108" spans="1:90">
      <c r="B108" s="65"/>
      <c r="C108" s="243"/>
      <c r="D108" s="55"/>
      <c r="E108" s="80"/>
      <c r="F108" s="195"/>
      <c r="G108" s="195"/>
      <c r="H108" s="195"/>
      <c r="I108" s="195"/>
      <c r="J108" s="195"/>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99"/>
      <c r="BH108" s="147"/>
      <c r="BI108" s="147"/>
      <c r="BJ108" s="147"/>
      <c r="BK108" s="147"/>
      <c r="BL108" s="147"/>
      <c r="BM108" s="147"/>
      <c r="BN108" s="147"/>
      <c r="BO108" s="199"/>
      <c r="BP108" s="147"/>
      <c r="BQ108" s="147"/>
      <c r="BR108" s="147"/>
      <c r="BS108" s="199"/>
      <c r="BT108" s="147"/>
      <c r="BU108" s="147"/>
      <c r="BV108" s="147"/>
      <c r="BW108" s="147"/>
      <c r="BX108" s="147"/>
      <c r="BY108" s="147"/>
      <c r="BZ108" s="147"/>
      <c r="CA108" s="147"/>
      <c r="CB108" s="147"/>
      <c r="CC108" s="147"/>
      <c r="CD108" s="147"/>
      <c r="CE108" s="147"/>
      <c r="CF108" s="147"/>
      <c r="CG108" s="147"/>
      <c r="CH108" s="147"/>
      <c r="CI108" s="147"/>
      <c r="CJ108" s="147"/>
      <c r="CK108" s="147"/>
      <c r="CL108" s="165"/>
    </row>
    <row r="109" spans="1:90">
      <c r="B109" s="83" t="s">
        <v>225</v>
      </c>
      <c r="F109" s="378"/>
      <c r="G109" s="378"/>
      <c r="H109" s="378"/>
      <c r="I109" s="378"/>
    </row>
    <row r="110" spans="1:90">
      <c r="B110" s="85" t="s">
        <v>220</v>
      </c>
    </row>
    <row r="111" spans="1:90">
      <c r="B111" s="85" t="s">
        <v>221</v>
      </c>
    </row>
    <row r="112" spans="1:90">
      <c r="B112" s="85" t="s">
        <v>222</v>
      </c>
    </row>
    <row r="113" spans="1:90">
      <c r="B113" s="84"/>
    </row>
    <row r="114" spans="1:90">
      <c r="B114" s="85" t="s">
        <v>83</v>
      </c>
    </row>
    <row r="115" spans="1:90">
      <c r="B115" s="85" t="s">
        <v>223</v>
      </c>
    </row>
    <row r="116" spans="1:90">
      <c r="B116" s="85" t="s">
        <v>228</v>
      </c>
    </row>
    <row r="118" spans="1:90" s="80" customFormat="1" ht="11.25">
      <c r="A118" s="413"/>
      <c r="B118" s="414" t="s">
        <v>66</v>
      </c>
      <c r="C118" s="406">
        <v>2008</v>
      </c>
      <c r="D118" s="415" t="s">
        <v>12</v>
      </c>
      <c r="E118" s="416">
        <v>40679</v>
      </c>
      <c r="F118" s="407">
        <v>34700</v>
      </c>
      <c r="G118" s="407">
        <v>15200</v>
      </c>
      <c r="H118" s="407">
        <v>27800</v>
      </c>
      <c r="I118" s="407">
        <v>22600</v>
      </c>
      <c r="J118" s="408"/>
      <c r="K118" s="407">
        <f>BF118</f>
        <v>3500</v>
      </c>
      <c r="L118" s="407">
        <f>AY118</f>
        <v>3700</v>
      </c>
      <c r="M118" s="407">
        <f>BD118</f>
        <v>2700</v>
      </c>
      <c r="N118" s="407">
        <f>AW118</f>
        <v>1600</v>
      </c>
      <c r="O118" s="407">
        <f>BE118</f>
        <v>1100</v>
      </c>
      <c r="P118" s="407">
        <f>'2009'!AZ118+'2009'!BA118</f>
        <v>5600</v>
      </c>
      <c r="Q118" s="407">
        <f>'2009'!AU118</f>
        <v>1800</v>
      </c>
      <c r="R118" s="407">
        <f>AT118+AX118</f>
        <v>6300</v>
      </c>
      <c r="S118" s="407">
        <f>AV118</f>
        <v>2500</v>
      </c>
      <c r="T118" s="407">
        <f>BB118</f>
        <v>2400</v>
      </c>
      <c r="U118" s="407">
        <f>BC118</f>
        <v>3500</v>
      </c>
      <c r="V118" s="407">
        <f>BG118+BJ118</f>
        <v>2400</v>
      </c>
      <c r="W118" s="407">
        <f>BR118</f>
        <v>1200</v>
      </c>
      <c r="X118" s="407">
        <f>BH118+BI118</f>
        <v>3100</v>
      </c>
      <c r="Y118" s="407">
        <f>BK118+BL118+BN118</f>
        <v>4000</v>
      </c>
      <c r="Z118" s="407">
        <f>BM118</f>
        <v>1800</v>
      </c>
      <c r="AA118" s="407">
        <f>BO118+BQ118</f>
        <v>1500</v>
      </c>
      <c r="AB118" s="407">
        <f>BP118</f>
        <v>1300</v>
      </c>
      <c r="AC118" s="407">
        <f>BX118</f>
        <v>1900</v>
      </c>
      <c r="AD118" s="407">
        <f>BU118</f>
        <v>2900</v>
      </c>
      <c r="AE118" s="407">
        <f>BS118+BT118</f>
        <v>6100</v>
      </c>
      <c r="AF118" s="407">
        <f>CA118</f>
        <v>2300</v>
      </c>
      <c r="AG118" s="407">
        <f>BV118</f>
        <v>7100</v>
      </c>
      <c r="AH118" s="407">
        <f>BZ118</f>
        <v>3000</v>
      </c>
      <c r="AI118" s="407">
        <f>BW118</f>
        <v>1500</v>
      </c>
      <c r="AJ118" s="407">
        <f>BY118</f>
        <v>900</v>
      </c>
      <c r="AK118" s="407">
        <f>CB118</f>
        <v>2200</v>
      </c>
      <c r="AL118" s="407">
        <f>CE118</f>
        <v>1600</v>
      </c>
      <c r="AM118" s="407">
        <f>CH118</f>
        <v>3300</v>
      </c>
      <c r="AN118" s="407">
        <f>CJ118</f>
        <v>4700</v>
      </c>
      <c r="AO118" s="407">
        <f>CC118</f>
        <v>2600</v>
      </c>
      <c r="AP118" s="407">
        <f>CD118</f>
        <v>1100</v>
      </c>
      <c r="AQ118" s="407">
        <f>CK118</f>
        <v>2400</v>
      </c>
      <c r="AR118" s="407">
        <f>CI118</f>
        <v>3500</v>
      </c>
      <c r="AS118" s="407">
        <f>CF118+CG118</f>
        <v>3400</v>
      </c>
      <c r="AT118" s="408">
        <v>1700</v>
      </c>
      <c r="AU118" s="408">
        <v>1800</v>
      </c>
      <c r="AV118" s="408">
        <v>2500</v>
      </c>
      <c r="AW118" s="408">
        <v>1600</v>
      </c>
      <c r="AX118" s="408">
        <v>4600</v>
      </c>
      <c r="AY118" s="407">
        <v>3700</v>
      </c>
      <c r="AZ118" s="407">
        <v>700</v>
      </c>
      <c r="BA118" s="407">
        <v>4900</v>
      </c>
      <c r="BB118" s="407">
        <v>2400</v>
      </c>
      <c r="BC118" s="407">
        <v>3500</v>
      </c>
      <c r="BD118" s="407">
        <v>2700</v>
      </c>
      <c r="BE118" s="407">
        <v>1100</v>
      </c>
      <c r="BF118" s="407">
        <v>3500</v>
      </c>
      <c r="BG118" s="407">
        <v>600</v>
      </c>
      <c r="BH118" s="407">
        <v>500</v>
      </c>
      <c r="BI118" s="407">
        <v>2600</v>
      </c>
      <c r="BJ118" s="407">
        <v>1800</v>
      </c>
      <c r="BK118" s="407">
        <v>500</v>
      </c>
      <c r="BL118" s="407">
        <v>600</v>
      </c>
      <c r="BM118" s="407">
        <v>1800</v>
      </c>
      <c r="BN118" s="407">
        <v>2900</v>
      </c>
      <c r="BO118" s="407">
        <v>300</v>
      </c>
      <c r="BP118" s="407">
        <v>1300</v>
      </c>
      <c r="BQ118" s="407">
        <v>1200</v>
      </c>
      <c r="BR118" s="407">
        <v>1200</v>
      </c>
      <c r="BS118" s="407">
        <v>600</v>
      </c>
      <c r="BT118" s="407">
        <v>5500</v>
      </c>
      <c r="BU118" s="407">
        <v>2900</v>
      </c>
      <c r="BV118" s="407">
        <v>7100</v>
      </c>
      <c r="BW118" s="407">
        <v>1500</v>
      </c>
      <c r="BX118" s="407">
        <v>1900</v>
      </c>
      <c r="BY118" s="407">
        <v>900</v>
      </c>
      <c r="BZ118" s="407">
        <v>3000</v>
      </c>
      <c r="CA118" s="407">
        <v>2300</v>
      </c>
      <c r="CB118" s="407">
        <v>2200</v>
      </c>
      <c r="CC118" s="407">
        <v>2600</v>
      </c>
      <c r="CD118" s="407">
        <v>1100</v>
      </c>
      <c r="CE118" s="407">
        <v>1600</v>
      </c>
      <c r="CF118" s="407">
        <v>400</v>
      </c>
      <c r="CG118" s="407">
        <v>3000</v>
      </c>
      <c r="CH118" s="407">
        <v>3300</v>
      </c>
      <c r="CI118" s="407">
        <v>3500</v>
      </c>
      <c r="CJ118" s="407">
        <v>4700</v>
      </c>
      <c r="CK118" s="407">
        <v>2400</v>
      </c>
      <c r="CL118" s="407">
        <v>100300</v>
      </c>
    </row>
    <row r="119" spans="1:90" s="80" customFormat="1" ht="11.25">
      <c r="A119" s="413"/>
      <c r="B119" s="417" t="s">
        <v>324</v>
      </c>
      <c r="C119" s="409">
        <v>2009</v>
      </c>
      <c r="D119" s="415" t="s">
        <v>3</v>
      </c>
      <c r="E119" s="415"/>
      <c r="F119" s="412">
        <v>0.70599999999999996</v>
      </c>
      <c r="G119" s="410">
        <v>0.36399999999999999</v>
      </c>
      <c r="H119" s="410">
        <v>0.50700000000000001</v>
      </c>
      <c r="I119" s="412">
        <v>0.42299999999999999</v>
      </c>
      <c r="J119" s="410"/>
      <c r="K119" s="412">
        <f>BF119</f>
        <v>7.3999999999999996E-2</v>
      </c>
      <c r="L119" s="410">
        <f>AY119</f>
        <v>7.0999999999999994E-2</v>
      </c>
      <c r="M119" s="410">
        <f>BD119</f>
        <v>5.2999999999999999E-2</v>
      </c>
      <c r="N119" s="410">
        <f>AW119</f>
        <v>3.1E-2</v>
      </c>
      <c r="O119" s="410">
        <f>BE119</f>
        <v>2.9000000000000001E-2</v>
      </c>
      <c r="P119" s="411">
        <f>AZ119+BA119</f>
        <v>9.5000000000000001E-2</v>
      </c>
      <c r="Q119" s="412"/>
      <c r="R119" s="411">
        <f>AT119+AX119</f>
        <v>0.124</v>
      </c>
      <c r="S119" s="410">
        <f>AV119</f>
        <v>5.2999999999999999E-2</v>
      </c>
      <c r="T119" s="410">
        <f>BB119</f>
        <v>5.6000000000000001E-2</v>
      </c>
      <c r="U119" s="412">
        <f>BC119</f>
        <v>8.4000000000000005E-2</v>
      </c>
      <c r="V119" s="411">
        <f>BG119+BJ119</f>
        <v>5.7000000000000002E-2</v>
      </c>
      <c r="W119" s="410">
        <f>BR119</f>
        <v>2.5999999999999999E-2</v>
      </c>
      <c r="X119" s="411">
        <f>BH119+BI119</f>
        <v>6.9000000000000006E-2</v>
      </c>
      <c r="Y119" s="411">
        <f>BK119+BL119+BN119</f>
        <v>0.10100000000000001</v>
      </c>
      <c r="Z119" s="410">
        <f>BM119</f>
        <v>4.1000000000000002E-2</v>
      </c>
      <c r="AA119" s="411">
        <f>BO119+BQ119</f>
        <v>3.6999999999999998E-2</v>
      </c>
      <c r="AB119" s="412">
        <f>BP119</f>
        <v>3.3000000000000002E-2</v>
      </c>
      <c r="AC119" s="410">
        <f>BX119</f>
        <v>3.5999999999999997E-2</v>
      </c>
      <c r="AD119" s="410">
        <f>BU119</f>
        <v>4.2999999999999997E-2</v>
      </c>
      <c r="AE119" s="411">
        <f>BS119+BT119</f>
        <v>0.107</v>
      </c>
      <c r="AF119" s="410">
        <f>CA119</f>
        <v>4.3999999999999997E-2</v>
      </c>
      <c r="AG119" s="410">
        <f>BV119</f>
        <v>0.124</v>
      </c>
      <c r="AH119" s="410">
        <f>BZ119</f>
        <v>7.3999999999999996E-2</v>
      </c>
      <c r="AI119" s="410">
        <f>BW119</f>
        <v>0.03</v>
      </c>
      <c r="AJ119" s="410">
        <f>BY119</f>
        <v>1.9E-2</v>
      </c>
      <c r="AK119" s="412">
        <f>CB119</f>
        <v>3.1E-2</v>
      </c>
      <c r="AL119" s="410">
        <f>CE119</f>
        <v>3.2000000000000001E-2</v>
      </c>
      <c r="AM119" s="410">
        <f>CH119</f>
        <v>6.6000000000000003E-2</v>
      </c>
      <c r="AN119" s="410">
        <f>CJ119</f>
        <v>9.0999999999999998E-2</v>
      </c>
      <c r="AO119" s="410">
        <f>CC119</f>
        <v>4.5999999999999999E-2</v>
      </c>
      <c r="AP119" s="410">
        <f>CD119</f>
        <v>1.9E-2</v>
      </c>
      <c r="AQ119" s="410">
        <f>CK119</f>
        <v>4.4999999999999998E-2</v>
      </c>
      <c r="AR119" s="410">
        <f>CI119</f>
        <v>6.4000000000000001E-2</v>
      </c>
      <c r="AS119" s="411">
        <f>CF119+CG119</f>
        <v>6.0000000000000005E-2</v>
      </c>
      <c r="AT119" s="410">
        <v>4.3999999999999997E-2</v>
      </c>
      <c r="AU119" s="410">
        <v>3.5999999999999997E-2</v>
      </c>
      <c r="AV119" s="410">
        <v>5.2999999999999999E-2</v>
      </c>
      <c r="AW119" s="410">
        <v>3.1E-2</v>
      </c>
      <c r="AX119" s="410">
        <v>0.08</v>
      </c>
      <c r="AY119" s="410">
        <v>7.0999999999999994E-2</v>
      </c>
      <c r="AZ119" s="410">
        <v>1.4E-2</v>
      </c>
      <c r="BA119" s="410">
        <v>8.1000000000000003E-2</v>
      </c>
      <c r="BB119" s="410">
        <v>5.6000000000000001E-2</v>
      </c>
      <c r="BC119" s="410">
        <v>8.4000000000000005E-2</v>
      </c>
      <c r="BD119" s="410">
        <v>5.2999999999999999E-2</v>
      </c>
      <c r="BE119" s="410">
        <v>2.9000000000000001E-2</v>
      </c>
      <c r="BF119" s="412">
        <v>7.3999999999999996E-2</v>
      </c>
      <c r="BG119" s="410">
        <v>1.6E-2</v>
      </c>
      <c r="BH119" s="410">
        <v>1.4E-2</v>
      </c>
      <c r="BI119" s="410">
        <v>5.5E-2</v>
      </c>
      <c r="BJ119" s="410">
        <v>4.1000000000000002E-2</v>
      </c>
      <c r="BK119" s="410">
        <v>1.4999999999999999E-2</v>
      </c>
      <c r="BL119" s="410">
        <v>1.7000000000000001E-2</v>
      </c>
      <c r="BM119" s="410">
        <v>4.1000000000000002E-2</v>
      </c>
      <c r="BN119" s="410">
        <v>6.9000000000000006E-2</v>
      </c>
      <c r="BO119" s="410">
        <v>1.2999999999999999E-2</v>
      </c>
      <c r="BP119" s="410">
        <v>3.3000000000000002E-2</v>
      </c>
      <c r="BQ119" s="410">
        <v>2.4E-2</v>
      </c>
      <c r="BR119" s="412">
        <v>2.5999999999999999E-2</v>
      </c>
      <c r="BS119" s="410">
        <v>1.6E-2</v>
      </c>
      <c r="BT119" s="410">
        <v>9.0999999999999998E-2</v>
      </c>
      <c r="BU119" s="410">
        <v>4.2999999999999997E-2</v>
      </c>
      <c r="BV119" s="410">
        <v>0.124</v>
      </c>
      <c r="BW119" s="410">
        <v>0.03</v>
      </c>
      <c r="BX119" s="410">
        <v>3.5999999999999997E-2</v>
      </c>
      <c r="BY119" s="410">
        <v>1.9E-2</v>
      </c>
      <c r="BZ119" s="410">
        <v>7.3999999999999996E-2</v>
      </c>
      <c r="CA119" s="410">
        <v>4.3999999999999997E-2</v>
      </c>
      <c r="CB119" s="412">
        <v>3.1E-2</v>
      </c>
      <c r="CC119" s="410">
        <v>4.5999999999999999E-2</v>
      </c>
      <c r="CD119" s="410">
        <v>1.9E-2</v>
      </c>
      <c r="CE119" s="410">
        <v>3.2000000000000001E-2</v>
      </c>
      <c r="CF119" s="410">
        <v>0.01</v>
      </c>
      <c r="CG119" s="410">
        <v>0.05</v>
      </c>
      <c r="CH119" s="410">
        <v>6.6000000000000003E-2</v>
      </c>
      <c r="CI119" s="410">
        <v>6.4000000000000001E-2</v>
      </c>
      <c r="CJ119" s="410">
        <v>9.0999999999999998E-2</v>
      </c>
      <c r="CK119" s="412">
        <v>4.4999999999999998E-2</v>
      </c>
      <c r="CL119" s="412">
        <v>2.0009999999999999</v>
      </c>
    </row>
    <row r="120" spans="1:90" s="80" customFormat="1" ht="11.25">
      <c r="B120" s="414" t="s">
        <v>58</v>
      </c>
      <c r="C120" s="406">
        <v>2010</v>
      </c>
      <c r="D120" s="80" t="s">
        <v>14</v>
      </c>
      <c r="E120" s="418">
        <v>40441</v>
      </c>
      <c r="F120" s="407">
        <v>586</v>
      </c>
      <c r="G120" s="407">
        <v>290</v>
      </c>
      <c r="H120" s="407">
        <v>242</v>
      </c>
      <c r="I120" s="407">
        <v>334</v>
      </c>
      <c r="J120" s="407"/>
      <c r="K120" s="407">
        <v>56</v>
      </c>
      <c r="L120" s="407">
        <v>61</v>
      </c>
      <c r="M120" s="407">
        <v>14</v>
      </c>
      <c r="N120" s="407">
        <v>36</v>
      </c>
      <c r="O120" s="407">
        <v>75</v>
      </c>
      <c r="P120" s="407">
        <v>66</v>
      </c>
      <c r="Q120" s="407">
        <v>41</v>
      </c>
      <c r="R120" s="407">
        <v>97</v>
      </c>
      <c r="S120" s="407">
        <v>53</v>
      </c>
      <c r="T120" s="407">
        <v>19</v>
      </c>
      <c r="U120" s="407">
        <v>71</v>
      </c>
      <c r="V120" s="407">
        <v>32</v>
      </c>
      <c r="W120" s="407">
        <v>41</v>
      </c>
      <c r="X120" s="407">
        <v>81</v>
      </c>
      <c r="Y120" s="407">
        <v>56</v>
      </c>
      <c r="Z120" s="407">
        <v>26</v>
      </c>
      <c r="AA120" s="407">
        <v>44</v>
      </c>
      <c r="AB120" s="407">
        <v>21</v>
      </c>
      <c r="AC120" s="407">
        <v>24</v>
      </c>
      <c r="AD120" s="407">
        <v>20</v>
      </c>
      <c r="AE120" s="407">
        <v>42</v>
      </c>
      <c r="AF120" s="407">
        <v>19</v>
      </c>
      <c r="AG120" s="407">
        <v>23</v>
      </c>
      <c r="AH120" s="407">
        <v>16</v>
      </c>
      <c r="AI120" s="407">
        <v>40</v>
      </c>
      <c r="AJ120" s="407">
        <v>39</v>
      </c>
      <c r="AK120" s="407">
        <v>25</v>
      </c>
      <c r="AL120" s="407">
        <v>18</v>
      </c>
      <c r="AM120" s="407">
        <v>34</v>
      </c>
      <c r="AN120" s="407">
        <v>53</v>
      </c>
      <c r="AO120" s="407">
        <v>95</v>
      </c>
      <c r="AP120" s="407">
        <v>21</v>
      </c>
      <c r="AQ120" s="407">
        <v>28</v>
      </c>
      <c r="AR120" s="407">
        <v>27</v>
      </c>
      <c r="AS120" s="407">
        <v>59</v>
      </c>
      <c r="AT120" s="407"/>
      <c r="AU120" s="407">
        <v>41</v>
      </c>
      <c r="AV120" s="407">
        <v>53</v>
      </c>
      <c r="AW120" s="407">
        <v>36</v>
      </c>
      <c r="AX120" s="407">
        <v>70</v>
      </c>
      <c r="AY120" s="407">
        <v>61</v>
      </c>
      <c r="AZ120" s="407">
        <v>15</v>
      </c>
      <c r="BA120" s="407">
        <v>51</v>
      </c>
      <c r="BB120" s="407">
        <v>19</v>
      </c>
      <c r="BC120" s="407">
        <v>71</v>
      </c>
      <c r="BD120" s="407">
        <v>14</v>
      </c>
      <c r="BE120" s="407">
        <v>75</v>
      </c>
      <c r="BF120" s="407">
        <v>56</v>
      </c>
      <c r="BG120" s="407">
        <v>5</v>
      </c>
      <c r="BH120" s="407">
        <v>19</v>
      </c>
      <c r="BI120" s="407">
        <v>62</v>
      </c>
      <c r="BJ120" s="407">
        <v>27</v>
      </c>
      <c r="BK120" s="407">
        <v>2</v>
      </c>
      <c r="BL120" s="407">
        <v>16</v>
      </c>
      <c r="BM120" s="407">
        <v>26</v>
      </c>
      <c r="BN120" s="407">
        <v>38</v>
      </c>
      <c r="BO120" s="407">
        <v>5</v>
      </c>
      <c r="BP120" s="407">
        <v>21</v>
      </c>
      <c r="BQ120" s="407">
        <v>39</v>
      </c>
      <c r="BR120" s="407">
        <v>41</v>
      </c>
      <c r="BS120" s="407">
        <v>8</v>
      </c>
      <c r="BT120" s="407">
        <v>34</v>
      </c>
      <c r="BU120" s="407">
        <v>20</v>
      </c>
      <c r="BV120" s="407">
        <v>23</v>
      </c>
      <c r="BW120" s="407">
        <v>40</v>
      </c>
      <c r="BX120" s="407">
        <v>24</v>
      </c>
      <c r="BY120" s="407">
        <v>39</v>
      </c>
      <c r="BZ120" s="407">
        <v>16</v>
      </c>
      <c r="CA120" s="407">
        <v>19</v>
      </c>
      <c r="CB120" s="407">
        <v>25</v>
      </c>
      <c r="CC120" s="407">
        <v>95</v>
      </c>
      <c r="CD120" s="407">
        <v>21</v>
      </c>
      <c r="CE120" s="407">
        <v>18</v>
      </c>
      <c r="CF120" s="407">
        <v>12</v>
      </c>
      <c r="CG120" s="407">
        <v>47</v>
      </c>
      <c r="CH120" s="407">
        <v>34</v>
      </c>
      <c r="CI120" s="407">
        <v>27</v>
      </c>
      <c r="CJ120" s="407">
        <v>53</v>
      </c>
      <c r="CK120" s="407">
        <v>28</v>
      </c>
      <c r="CL120" s="407">
        <v>1452</v>
      </c>
    </row>
    <row r="121" spans="1:90" s="80" customFormat="1" ht="11.25">
      <c r="B121" s="414"/>
      <c r="C121" s="406"/>
      <c r="D121" s="80" t="s">
        <v>1</v>
      </c>
      <c r="F121" s="407">
        <v>232107.36</v>
      </c>
      <c r="G121" s="407">
        <v>184654.69</v>
      </c>
      <c r="H121" s="407">
        <v>174810.37</v>
      </c>
      <c r="I121" s="407">
        <v>202711.95</v>
      </c>
      <c r="J121" s="407"/>
      <c r="K121" s="407">
        <v>18203.28</v>
      </c>
      <c r="L121" s="407">
        <v>29257.74</v>
      </c>
      <c r="M121" s="407">
        <v>26747.8</v>
      </c>
      <c r="N121" s="407">
        <v>15760.74</v>
      </c>
      <c r="O121" s="407">
        <v>7776.37</v>
      </c>
      <c r="P121" s="407">
        <v>14670.77</v>
      </c>
      <c r="Q121" s="407">
        <v>20995.78</v>
      </c>
      <c r="R121" s="407">
        <v>33590.68</v>
      </c>
      <c r="S121" s="407">
        <v>28171.93</v>
      </c>
      <c r="T121" s="407">
        <v>12926.83</v>
      </c>
      <c r="U121" s="407">
        <v>24005.43</v>
      </c>
      <c r="V121" s="407">
        <v>31773.06</v>
      </c>
      <c r="W121" s="407">
        <v>11941.64</v>
      </c>
      <c r="X121" s="407">
        <v>32421.03</v>
      </c>
      <c r="Y121" s="407">
        <v>49804.35</v>
      </c>
      <c r="Z121" s="407">
        <v>15546.89</v>
      </c>
      <c r="AA121" s="407">
        <v>18158.240000000002</v>
      </c>
      <c r="AB121" s="407">
        <v>25000.47</v>
      </c>
      <c r="AC121" s="407">
        <v>8787.24</v>
      </c>
      <c r="AD121" s="407">
        <v>10687.19</v>
      </c>
      <c r="AE121" s="407">
        <v>72340.58</v>
      </c>
      <c r="AF121" s="407">
        <v>5894.01</v>
      </c>
      <c r="AG121" s="407">
        <v>14323.86</v>
      </c>
      <c r="AH121" s="407">
        <v>20871.22</v>
      </c>
      <c r="AI121" s="407">
        <v>6983.96</v>
      </c>
      <c r="AJ121" s="407">
        <v>7057.98</v>
      </c>
      <c r="AK121" s="407">
        <v>27864.33</v>
      </c>
      <c r="AL121" s="407">
        <v>31057.48</v>
      </c>
      <c r="AM121" s="407">
        <v>29330.19</v>
      </c>
      <c r="AN121" s="407">
        <v>29782.37</v>
      </c>
      <c r="AO121" s="407">
        <v>24341.94</v>
      </c>
      <c r="AP121" s="407">
        <v>20088.61</v>
      </c>
      <c r="AQ121" s="407">
        <v>10922.03</v>
      </c>
      <c r="AR121" s="407">
        <v>9362.69</v>
      </c>
      <c r="AS121" s="407">
        <v>47826.65</v>
      </c>
      <c r="AT121" s="407"/>
      <c r="AU121" s="407">
        <v>20995.78</v>
      </c>
      <c r="AV121" s="407">
        <v>28171.93</v>
      </c>
      <c r="AW121" s="407">
        <v>15760.74</v>
      </c>
      <c r="AX121" s="407">
        <v>26900.82</v>
      </c>
      <c r="AY121" s="407">
        <v>29257.74</v>
      </c>
      <c r="AZ121" s="407">
        <v>2301.91</v>
      </c>
      <c r="BA121" s="407">
        <v>12368.86</v>
      </c>
      <c r="BB121" s="407">
        <v>12926.83</v>
      </c>
      <c r="BC121" s="407">
        <v>24005.43</v>
      </c>
      <c r="BD121" s="407">
        <v>26747.8</v>
      </c>
      <c r="BE121" s="407">
        <v>7776.37</v>
      </c>
      <c r="BF121" s="407">
        <v>18203.28</v>
      </c>
      <c r="BG121" s="407">
        <v>8855.68</v>
      </c>
      <c r="BH121" s="407">
        <v>5712.45</v>
      </c>
      <c r="BI121" s="407">
        <v>26708.58</v>
      </c>
      <c r="BJ121" s="407">
        <v>22917.38</v>
      </c>
      <c r="BK121" s="407">
        <v>4996</v>
      </c>
      <c r="BL121" s="407">
        <v>4092.46</v>
      </c>
      <c r="BM121" s="407">
        <v>15546.89</v>
      </c>
      <c r="BN121" s="407">
        <v>40715.89</v>
      </c>
      <c r="BO121" s="407">
        <v>5897.54</v>
      </c>
      <c r="BP121" s="407">
        <v>25000.47</v>
      </c>
      <c r="BQ121" s="407">
        <v>12260.7</v>
      </c>
      <c r="BR121" s="407">
        <v>11941.64</v>
      </c>
      <c r="BS121" s="407">
        <v>6992.51</v>
      </c>
      <c r="BT121" s="407">
        <v>65348.07</v>
      </c>
      <c r="BU121" s="407">
        <v>10687.19</v>
      </c>
      <c r="BV121" s="407">
        <v>14323.86</v>
      </c>
      <c r="BW121" s="407">
        <v>6983.96</v>
      </c>
      <c r="BX121" s="407">
        <v>8787.24</v>
      </c>
      <c r="BY121" s="407">
        <v>7057.98</v>
      </c>
      <c r="BZ121" s="407">
        <v>20871.22</v>
      </c>
      <c r="CA121" s="407">
        <v>5894.01</v>
      </c>
      <c r="CB121" s="407">
        <v>27864.33</v>
      </c>
      <c r="CC121" s="407">
        <v>24341.94</v>
      </c>
      <c r="CD121" s="407">
        <v>20088.61</v>
      </c>
      <c r="CE121" s="407">
        <v>31057.48</v>
      </c>
      <c r="CF121" s="407">
        <v>3508.14</v>
      </c>
      <c r="CG121" s="407">
        <v>44318.51</v>
      </c>
      <c r="CH121" s="407">
        <v>29330.19</v>
      </c>
      <c r="CI121" s="407">
        <v>9362.69</v>
      </c>
      <c r="CJ121" s="407">
        <v>29782.37</v>
      </c>
      <c r="CK121" s="407">
        <v>10922.03</v>
      </c>
      <c r="CL121" s="407">
        <v>813936.7</v>
      </c>
    </row>
    <row r="122" spans="1:90" s="80" customFormat="1" ht="11.25">
      <c r="B122" s="414" t="s">
        <v>211</v>
      </c>
      <c r="C122" s="406">
        <v>2010</v>
      </c>
      <c r="D122" s="80" t="s">
        <v>14</v>
      </c>
      <c r="E122" s="418">
        <v>40441</v>
      </c>
      <c r="F122" s="407">
        <v>4143</v>
      </c>
      <c r="G122" s="407">
        <v>308</v>
      </c>
      <c r="H122" s="407">
        <v>509</v>
      </c>
      <c r="I122" s="407">
        <v>1271</v>
      </c>
      <c r="J122" s="407"/>
      <c r="K122" s="407">
        <v>398</v>
      </c>
      <c r="L122" s="407">
        <v>596</v>
      </c>
      <c r="M122" s="407">
        <v>282</v>
      </c>
      <c r="N122" s="407">
        <v>246</v>
      </c>
      <c r="O122" s="407">
        <v>239</v>
      </c>
      <c r="P122" s="407">
        <v>184</v>
      </c>
      <c r="Q122" s="407">
        <v>396</v>
      </c>
      <c r="R122" s="407">
        <v>538</v>
      </c>
      <c r="S122" s="407">
        <v>404</v>
      </c>
      <c r="T122" s="407">
        <v>132</v>
      </c>
      <c r="U122" s="407">
        <v>732</v>
      </c>
      <c r="V122" s="407">
        <v>40</v>
      </c>
      <c r="W122" s="407">
        <v>16</v>
      </c>
      <c r="X122" s="407">
        <v>155</v>
      </c>
      <c r="Y122" s="407">
        <v>61</v>
      </c>
      <c r="Z122" s="407">
        <v>23</v>
      </c>
      <c r="AA122" s="407">
        <v>16</v>
      </c>
      <c r="AB122" s="407" t="s">
        <v>61</v>
      </c>
      <c r="AC122" s="407">
        <v>48</v>
      </c>
      <c r="AD122" s="407">
        <v>21</v>
      </c>
      <c r="AE122" s="407">
        <v>55</v>
      </c>
      <c r="AF122" s="407">
        <v>38</v>
      </c>
      <c r="AG122" s="407">
        <v>98</v>
      </c>
      <c r="AH122" s="407">
        <v>68</v>
      </c>
      <c r="AI122" s="407">
        <v>21</v>
      </c>
      <c r="AJ122" s="407">
        <v>81</v>
      </c>
      <c r="AK122" s="407">
        <v>79</v>
      </c>
      <c r="AL122" s="407">
        <v>29</v>
      </c>
      <c r="AM122" s="407">
        <v>7</v>
      </c>
      <c r="AN122" s="407">
        <v>493</v>
      </c>
      <c r="AO122" s="407">
        <v>203</v>
      </c>
      <c r="AP122" s="407">
        <v>17</v>
      </c>
      <c r="AQ122" s="407">
        <v>124</v>
      </c>
      <c r="AR122" s="407">
        <v>28</v>
      </c>
      <c r="AS122" s="407">
        <v>371</v>
      </c>
      <c r="AT122" s="407"/>
      <c r="AU122" s="407">
        <v>396</v>
      </c>
      <c r="AV122" s="407">
        <v>404</v>
      </c>
      <c r="AW122" s="407">
        <v>246</v>
      </c>
      <c r="AX122" s="407">
        <v>526</v>
      </c>
      <c r="AY122" s="407">
        <v>596</v>
      </c>
      <c r="AZ122" s="407">
        <v>8</v>
      </c>
      <c r="BA122" s="407">
        <v>176</v>
      </c>
      <c r="BB122" s="407">
        <v>132</v>
      </c>
      <c r="BC122" s="407">
        <v>732</v>
      </c>
      <c r="BD122" s="407">
        <v>282</v>
      </c>
      <c r="BE122" s="407">
        <v>239</v>
      </c>
      <c r="BF122" s="407">
        <v>398</v>
      </c>
      <c r="BG122" s="407">
        <v>9</v>
      </c>
      <c r="BH122" s="407">
        <v>3</v>
      </c>
      <c r="BI122" s="407">
        <v>152</v>
      </c>
      <c r="BJ122" s="407">
        <v>31</v>
      </c>
      <c r="BK122" s="407">
        <v>9</v>
      </c>
      <c r="BL122" s="407">
        <v>2</v>
      </c>
      <c r="BM122" s="407">
        <v>23</v>
      </c>
      <c r="BN122" s="407">
        <v>50</v>
      </c>
      <c r="BO122" s="407">
        <v>1</v>
      </c>
      <c r="BP122" s="407" t="s">
        <v>61</v>
      </c>
      <c r="BQ122" s="407">
        <v>15</v>
      </c>
      <c r="BR122" s="407">
        <v>16</v>
      </c>
      <c r="BS122" s="407">
        <v>7</v>
      </c>
      <c r="BT122" s="407">
        <v>48</v>
      </c>
      <c r="BU122" s="407">
        <v>21</v>
      </c>
      <c r="BV122" s="407">
        <v>98</v>
      </c>
      <c r="BW122" s="407">
        <v>21</v>
      </c>
      <c r="BX122" s="407">
        <v>48</v>
      </c>
      <c r="BY122" s="407">
        <v>81</v>
      </c>
      <c r="BZ122" s="407">
        <v>68</v>
      </c>
      <c r="CA122" s="407">
        <v>38</v>
      </c>
      <c r="CB122" s="407">
        <v>79</v>
      </c>
      <c r="CC122" s="407">
        <v>203</v>
      </c>
      <c r="CD122" s="407">
        <v>17</v>
      </c>
      <c r="CE122" s="407">
        <v>29</v>
      </c>
      <c r="CF122" s="407">
        <v>9</v>
      </c>
      <c r="CG122" s="407">
        <v>362</v>
      </c>
      <c r="CH122" s="407">
        <v>7</v>
      </c>
      <c r="CI122" s="407">
        <v>28</v>
      </c>
      <c r="CJ122" s="407">
        <v>493</v>
      </c>
      <c r="CK122" s="407">
        <v>124</v>
      </c>
      <c r="CL122" s="407">
        <v>6231</v>
      </c>
    </row>
    <row r="123" spans="1:90" s="80" customFormat="1" ht="11.25">
      <c r="B123" s="414"/>
      <c r="C123" s="406"/>
      <c r="D123" s="80" t="s">
        <v>1</v>
      </c>
      <c r="F123" s="407">
        <v>4170.09</v>
      </c>
      <c r="G123" s="407">
        <v>541.74</v>
      </c>
      <c r="H123" s="407">
        <v>587.17999999999995</v>
      </c>
      <c r="I123" s="407">
        <v>1151.67</v>
      </c>
      <c r="J123" s="407"/>
      <c r="K123" s="407">
        <v>359.48</v>
      </c>
      <c r="L123" s="407">
        <v>528.95000000000005</v>
      </c>
      <c r="M123" s="407">
        <v>290.68</v>
      </c>
      <c r="N123" s="407">
        <v>310.51</v>
      </c>
      <c r="O123" s="407">
        <v>119.56</v>
      </c>
      <c r="P123" s="407">
        <v>180.21</v>
      </c>
      <c r="Q123" s="407">
        <v>604.95000000000005</v>
      </c>
      <c r="R123" s="407">
        <v>582.64</v>
      </c>
      <c r="S123" s="407">
        <v>556.91</v>
      </c>
      <c r="T123" s="407">
        <v>74.989999999999995</v>
      </c>
      <c r="U123" s="407">
        <v>561.22</v>
      </c>
      <c r="V123" s="407">
        <v>79.45</v>
      </c>
      <c r="W123" s="407">
        <v>39.14</v>
      </c>
      <c r="X123" s="407">
        <v>280.74</v>
      </c>
      <c r="Y123" s="407">
        <v>77.97</v>
      </c>
      <c r="Z123" s="407">
        <v>54.51</v>
      </c>
      <c r="AA123" s="407">
        <v>9.93</v>
      </c>
      <c r="AB123" s="407" t="s">
        <v>61</v>
      </c>
      <c r="AC123" s="407">
        <v>65.58</v>
      </c>
      <c r="AD123" s="407">
        <v>29.81</v>
      </c>
      <c r="AE123" s="407">
        <v>68.790000000000006</v>
      </c>
      <c r="AF123" s="407">
        <v>36.619999999999997</v>
      </c>
      <c r="AG123" s="407">
        <v>45.79</v>
      </c>
      <c r="AH123" s="407">
        <v>151.69</v>
      </c>
      <c r="AI123" s="407">
        <v>42.2</v>
      </c>
      <c r="AJ123" s="407">
        <v>77.03</v>
      </c>
      <c r="AK123" s="407">
        <v>69.67</v>
      </c>
      <c r="AL123" s="407">
        <v>65.63</v>
      </c>
      <c r="AM123" s="407">
        <v>10.07</v>
      </c>
      <c r="AN123" s="407">
        <v>440.02</v>
      </c>
      <c r="AO123" s="407">
        <v>198.6</v>
      </c>
      <c r="AP123" s="407">
        <v>28.92</v>
      </c>
      <c r="AQ123" s="407">
        <v>42.68</v>
      </c>
      <c r="AR123" s="407">
        <v>40.46</v>
      </c>
      <c r="AS123" s="407">
        <v>325.3</v>
      </c>
      <c r="AT123" s="407"/>
      <c r="AU123" s="407">
        <v>604.95000000000005</v>
      </c>
      <c r="AV123" s="407">
        <v>556.91</v>
      </c>
      <c r="AW123" s="407">
        <v>310.51</v>
      </c>
      <c r="AX123" s="407">
        <v>578.1</v>
      </c>
      <c r="AY123" s="407">
        <v>528.95000000000005</v>
      </c>
      <c r="AZ123" s="407">
        <v>11.52</v>
      </c>
      <c r="BA123" s="407">
        <v>168.69</v>
      </c>
      <c r="BB123" s="407">
        <v>74.989999999999995</v>
      </c>
      <c r="BC123" s="407">
        <v>561.22</v>
      </c>
      <c r="BD123" s="407">
        <v>290.68</v>
      </c>
      <c r="BE123" s="407">
        <v>119.56</v>
      </c>
      <c r="BF123" s="407">
        <v>359.48</v>
      </c>
      <c r="BG123" s="407">
        <v>19.5</v>
      </c>
      <c r="BH123" s="407">
        <v>3.6</v>
      </c>
      <c r="BI123" s="407">
        <v>277.14</v>
      </c>
      <c r="BJ123" s="407">
        <v>59.95</v>
      </c>
      <c r="BK123" s="407">
        <v>16.16</v>
      </c>
      <c r="BL123" s="407">
        <v>1.1599999999999999</v>
      </c>
      <c r="BM123" s="407">
        <v>54.51</v>
      </c>
      <c r="BN123" s="407">
        <v>60.65</v>
      </c>
      <c r="BO123" s="407">
        <v>3.9</v>
      </c>
      <c r="BP123" s="407" t="s">
        <v>61</v>
      </c>
      <c r="BQ123" s="407">
        <v>6.03</v>
      </c>
      <c r="BR123" s="407">
        <v>39.14</v>
      </c>
      <c r="BS123" s="407">
        <v>6.83</v>
      </c>
      <c r="BT123" s="407">
        <v>61.96</v>
      </c>
      <c r="BU123" s="407">
        <v>29.81</v>
      </c>
      <c r="BV123" s="407">
        <v>45.79</v>
      </c>
      <c r="BW123" s="407">
        <v>42.2</v>
      </c>
      <c r="BX123" s="407">
        <v>65.58</v>
      </c>
      <c r="BY123" s="407">
        <v>77.03</v>
      </c>
      <c r="BZ123" s="407">
        <v>151.69</v>
      </c>
      <c r="CA123" s="407">
        <v>36.619999999999997</v>
      </c>
      <c r="CB123" s="407">
        <v>69.67</v>
      </c>
      <c r="CC123" s="407">
        <v>198.6</v>
      </c>
      <c r="CD123" s="407">
        <v>28.92</v>
      </c>
      <c r="CE123" s="407">
        <v>65.63</v>
      </c>
      <c r="CF123" s="407">
        <v>19.27</v>
      </c>
      <c r="CG123" s="407">
        <v>306.02999999999997</v>
      </c>
      <c r="CH123" s="407">
        <v>10.07</v>
      </c>
      <c r="CI123" s="407">
        <v>40.46</v>
      </c>
      <c r="CJ123" s="407">
        <v>440.02</v>
      </c>
      <c r="CK123" s="407">
        <v>42.68</v>
      </c>
      <c r="CL123" s="407">
        <v>6476.71</v>
      </c>
    </row>
    <row r="124" spans="1:90" s="80" customFormat="1" ht="11.25">
      <c r="B124" s="414" t="s">
        <v>254</v>
      </c>
      <c r="C124" s="406">
        <v>2009</v>
      </c>
      <c r="D124" s="80" t="s">
        <v>14</v>
      </c>
      <c r="E124" s="418">
        <v>40697</v>
      </c>
      <c r="F124" s="407">
        <v>3266</v>
      </c>
      <c r="G124" s="407">
        <v>720</v>
      </c>
      <c r="H124" s="407">
        <v>2894</v>
      </c>
      <c r="I124" s="407">
        <v>4423</v>
      </c>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v>15</v>
      </c>
      <c r="AU124" s="407">
        <v>90</v>
      </c>
      <c r="AV124" s="407">
        <v>98</v>
      </c>
      <c r="AW124" s="407">
        <v>314</v>
      </c>
      <c r="AX124" s="407">
        <v>147</v>
      </c>
      <c r="AY124" s="407">
        <v>256</v>
      </c>
      <c r="AZ124" s="407">
        <v>4</v>
      </c>
      <c r="BA124" s="407">
        <v>130</v>
      </c>
      <c r="BB124" s="407">
        <v>232</v>
      </c>
      <c r="BC124" s="407">
        <v>722</v>
      </c>
      <c r="BD124" s="407">
        <v>265</v>
      </c>
      <c r="BE124" s="407">
        <v>213</v>
      </c>
      <c r="BF124" s="407">
        <v>780</v>
      </c>
      <c r="BG124" s="407" t="s">
        <v>61</v>
      </c>
      <c r="BH124" s="407">
        <v>2</v>
      </c>
      <c r="BI124" s="407">
        <v>34</v>
      </c>
      <c r="BJ124" s="407">
        <v>23</v>
      </c>
      <c r="BK124" s="407">
        <v>7</v>
      </c>
      <c r="BL124" s="407">
        <v>2</v>
      </c>
      <c r="BM124" s="407">
        <v>214</v>
      </c>
      <c r="BN124" s="407">
        <v>100</v>
      </c>
      <c r="BO124" s="407">
        <v>2</v>
      </c>
      <c r="BP124" s="407">
        <v>126</v>
      </c>
      <c r="BQ124" s="407">
        <v>70</v>
      </c>
      <c r="BR124" s="407">
        <v>140</v>
      </c>
      <c r="BS124" s="407">
        <v>5</v>
      </c>
      <c r="BT124" s="407">
        <v>473</v>
      </c>
      <c r="BU124" s="407">
        <v>200</v>
      </c>
      <c r="BV124" s="407">
        <v>523</v>
      </c>
      <c r="BW124" s="407">
        <v>236</v>
      </c>
      <c r="BX124" s="407">
        <v>481</v>
      </c>
      <c r="BY124" s="407">
        <v>136</v>
      </c>
      <c r="BZ124" s="407">
        <v>249</v>
      </c>
      <c r="CA124" s="407">
        <v>201</v>
      </c>
      <c r="CB124" s="407">
        <v>390</v>
      </c>
      <c r="CC124" s="407">
        <v>265</v>
      </c>
      <c r="CD124" s="407">
        <v>43</v>
      </c>
      <c r="CE124" s="407">
        <v>80</v>
      </c>
      <c r="CF124" s="407">
        <v>21</v>
      </c>
      <c r="CG124" s="407">
        <v>580</v>
      </c>
      <c r="CH124" s="407">
        <v>928</v>
      </c>
      <c r="CI124" s="407">
        <v>357</v>
      </c>
      <c r="CJ124" s="407">
        <v>1743</v>
      </c>
      <c r="CK124" s="407">
        <v>406</v>
      </c>
      <c r="CL124" s="407">
        <v>11303</v>
      </c>
    </row>
    <row r="125" spans="1:90" s="80" customFormat="1" ht="11.25">
      <c r="B125" s="414" t="s">
        <v>255</v>
      </c>
      <c r="C125" s="406">
        <v>2010</v>
      </c>
      <c r="D125" s="80" t="s">
        <v>14</v>
      </c>
      <c r="E125" s="418">
        <v>40652</v>
      </c>
      <c r="F125" s="407">
        <v>3007</v>
      </c>
      <c r="G125" s="407">
        <v>672</v>
      </c>
      <c r="H125" s="407">
        <v>1964</v>
      </c>
      <c r="I125" s="407">
        <v>2366</v>
      </c>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v>85</v>
      </c>
      <c r="AV125" s="407">
        <v>62</v>
      </c>
      <c r="AW125" s="407">
        <v>122</v>
      </c>
      <c r="AX125" s="407">
        <v>133</v>
      </c>
      <c r="AY125" s="407">
        <v>134</v>
      </c>
      <c r="AZ125" s="407" t="s">
        <v>252</v>
      </c>
      <c r="BA125" s="407">
        <v>133</v>
      </c>
      <c r="BB125" s="407">
        <v>359</v>
      </c>
      <c r="BC125" s="407">
        <v>917</v>
      </c>
      <c r="BD125" s="407">
        <v>430</v>
      </c>
      <c r="BE125" s="407">
        <v>169</v>
      </c>
      <c r="BF125" s="407">
        <v>459</v>
      </c>
      <c r="BG125" s="407" t="s">
        <v>252</v>
      </c>
      <c r="BH125" s="407">
        <v>8</v>
      </c>
      <c r="BI125" s="407">
        <v>56</v>
      </c>
      <c r="BJ125" s="407">
        <v>43</v>
      </c>
      <c r="BK125" s="407">
        <v>9</v>
      </c>
      <c r="BL125" s="407" t="s">
        <v>252</v>
      </c>
      <c r="BM125" s="407">
        <v>182</v>
      </c>
      <c r="BN125" s="407">
        <v>110</v>
      </c>
      <c r="BO125" s="407">
        <v>3</v>
      </c>
      <c r="BP125" s="407">
        <v>91</v>
      </c>
      <c r="BQ125" s="407">
        <v>58</v>
      </c>
      <c r="BR125" s="407">
        <v>106</v>
      </c>
      <c r="BS125" s="407">
        <v>13</v>
      </c>
      <c r="BT125" s="407">
        <v>280</v>
      </c>
      <c r="BU125" s="407">
        <v>180</v>
      </c>
      <c r="BV125" s="407">
        <v>497</v>
      </c>
      <c r="BW125" s="407">
        <v>223</v>
      </c>
      <c r="BX125" s="407">
        <v>247</v>
      </c>
      <c r="BY125" s="407">
        <v>95</v>
      </c>
      <c r="BZ125" s="407">
        <v>119</v>
      </c>
      <c r="CA125" s="407">
        <v>96</v>
      </c>
      <c r="CB125" s="407">
        <v>214</v>
      </c>
      <c r="CC125" s="407">
        <v>220</v>
      </c>
      <c r="CD125" s="407">
        <v>65</v>
      </c>
      <c r="CE125" s="407">
        <v>83</v>
      </c>
      <c r="CF125" s="407">
        <v>30</v>
      </c>
      <c r="CG125" s="407">
        <v>731</v>
      </c>
      <c r="CH125" s="407">
        <v>500</v>
      </c>
      <c r="CI125" s="407">
        <v>119</v>
      </c>
      <c r="CJ125" s="407">
        <v>237</v>
      </c>
      <c r="CK125" s="407">
        <v>381</v>
      </c>
      <c r="CL125" s="407">
        <v>8009</v>
      </c>
    </row>
    <row r="126" spans="1:90" s="80" customFormat="1" ht="11.25">
      <c r="B126" s="414" t="s">
        <v>256</v>
      </c>
      <c r="C126" s="406">
        <v>2010</v>
      </c>
      <c r="D126" s="80" t="s">
        <v>14</v>
      </c>
      <c r="E126" s="418">
        <v>40652</v>
      </c>
      <c r="F126" s="407">
        <v>523578</v>
      </c>
      <c r="G126" s="407">
        <v>68098</v>
      </c>
      <c r="H126" s="407">
        <v>94291</v>
      </c>
      <c r="I126" s="407">
        <v>399368</v>
      </c>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v>12206</v>
      </c>
      <c r="AV126" s="407">
        <v>4039</v>
      </c>
      <c r="AW126" s="407">
        <v>15543</v>
      </c>
      <c r="AX126" s="407">
        <v>28660</v>
      </c>
      <c r="AY126" s="407">
        <v>9818</v>
      </c>
      <c r="AZ126" s="407" t="s">
        <v>252</v>
      </c>
      <c r="BA126" s="407">
        <v>23545</v>
      </c>
      <c r="BB126" s="407">
        <v>77858</v>
      </c>
      <c r="BC126" s="407">
        <v>208234</v>
      </c>
      <c r="BD126" s="407">
        <v>59852</v>
      </c>
      <c r="BE126" s="407">
        <v>31522</v>
      </c>
      <c r="BF126" s="407">
        <v>51804</v>
      </c>
      <c r="BG126" s="407" t="s">
        <v>252</v>
      </c>
      <c r="BH126" s="407">
        <v>793</v>
      </c>
      <c r="BI126" s="407">
        <v>5110</v>
      </c>
      <c r="BJ126" s="407">
        <v>3874</v>
      </c>
      <c r="BK126" s="407">
        <v>567</v>
      </c>
      <c r="BL126" s="407">
        <v>64</v>
      </c>
      <c r="BM126" s="407">
        <v>26778</v>
      </c>
      <c r="BN126" s="407">
        <v>14479</v>
      </c>
      <c r="BO126" s="407" t="s">
        <v>252</v>
      </c>
      <c r="BP126" s="407">
        <v>4065</v>
      </c>
      <c r="BQ126" s="407">
        <v>4983</v>
      </c>
      <c r="BR126" s="407">
        <v>7368</v>
      </c>
      <c r="BS126" s="407">
        <v>223</v>
      </c>
      <c r="BT126" s="407">
        <v>6205</v>
      </c>
      <c r="BU126" s="407">
        <v>4070</v>
      </c>
      <c r="BV126" s="407">
        <v>15514</v>
      </c>
      <c r="BW126" s="407">
        <v>26001</v>
      </c>
      <c r="BX126" s="407">
        <v>13716</v>
      </c>
      <c r="BY126" s="407">
        <v>6568</v>
      </c>
      <c r="BZ126" s="407">
        <v>12062</v>
      </c>
      <c r="CA126" s="407">
        <v>2689</v>
      </c>
      <c r="CB126" s="407">
        <v>7243</v>
      </c>
      <c r="CC126" s="407">
        <v>15086</v>
      </c>
      <c r="CD126" s="407">
        <v>10014</v>
      </c>
      <c r="CE126" s="407">
        <v>6150</v>
      </c>
      <c r="CF126" s="407">
        <v>12842</v>
      </c>
      <c r="CG126" s="407">
        <v>157728</v>
      </c>
      <c r="CH126" s="407">
        <v>98860</v>
      </c>
      <c r="CI126" s="407">
        <v>13491</v>
      </c>
      <c r="CJ126" s="407">
        <v>27942</v>
      </c>
      <c r="CK126" s="407">
        <v>57255</v>
      </c>
      <c r="CL126" s="407">
        <v>1085335</v>
      </c>
    </row>
  </sheetData>
  <phoneticPr fontId="0" type="noConversion"/>
  <printOptions horizontalCentered="1"/>
  <pageMargins left="0.39370078740157483" right="0.39370078740157483" top="0.59055118110236227" bottom="0.59055118110236227" header="0.51181102362204722" footer="0.39370078740157483"/>
  <pageSetup paperSize="8" scale="85" orientation="portrait" r:id="rId1"/>
  <headerFooter alignWithMargins="0"/>
  <rowBreaks count="1" manualBreakCount="1">
    <brk id="99" min="1" max="88"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6"/>
  <sheetViews>
    <sheetView zoomScaleNormal="100" workbookViewId="0">
      <pane xSplit="5" ySplit="4" topLeftCell="F38" activePane="bottomRight" state="frozen"/>
      <selection activeCell="E106" sqref="E106"/>
      <selection pane="topRight" activeCell="E106" sqref="E106"/>
      <selection pane="bottomLeft" activeCell="E106" sqref="E106"/>
      <selection pane="bottomRight" activeCell="F65" sqref="F65:I65"/>
    </sheetView>
  </sheetViews>
  <sheetFormatPr baseColWidth="10" defaultRowHeight="12.75"/>
  <cols>
    <col min="1" max="1" width="4" bestFit="1" customWidth="1"/>
    <col min="2" max="2" width="39" style="66" customWidth="1"/>
    <col min="3" max="3" width="6.85546875" style="238" customWidth="1"/>
    <col min="4" max="4" width="12.5703125" bestFit="1" customWidth="1"/>
    <col min="5" max="5" width="8.7109375" style="79" customWidth="1"/>
    <col min="6" max="89" width="11.42578125" style="166"/>
    <col min="90" max="90" width="17.85546875" style="166" bestFit="1" customWidth="1"/>
  </cols>
  <sheetData>
    <row r="1" spans="1:91" ht="13.5" thickBot="1">
      <c r="B1" s="81" t="s">
        <v>198</v>
      </c>
      <c r="E1" s="80"/>
    </row>
    <row r="2" spans="1:91">
      <c r="B2" s="94"/>
      <c r="C2" s="239"/>
      <c r="D2" s="96"/>
      <c r="E2" s="350" t="s">
        <v>215</v>
      </c>
      <c r="F2" s="167" t="s">
        <v>149</v>
      </c>
      <c r="G2" s="168" t="s">
        <v>149</v>
      </c>
      <c r="H2" s="168" t="s">
        <v>149</v>
      </c>
      <c r="I2" s="169" t="s">
        <v>149</v>
      </c>
      <c r="J2" s="168"/>
      <c r="K2" s="167" t="s">
        <v>167</v>
      </c>
      <c r="L2" s="168" t="s">
        <v>167</v>
      </c>
      <c r="M2" s="168" t="s">
        <v>167</v>
      </c>
      <c r="N2" s="168" t="s">
        <v>167</v>
      </c>
      <c r="O2" s="168" t="s">
        <v>167</v>
      </c>
      <c r="P2" s="168" t="s">
        <v>167</v>
      </c>
      <c r="Q2" s="168" t="s">
        <v>167</v>
      </c>
      <c r="R2" s="168" t="s">
        <v>167</v>
      </c>
      <c r="S2" s="168" t="s">
        <v>167</v>
      </c>
      <c r="T2" s="168" t="s">
        <v>167</v>
      </c>
      <c r="U2" s="170" t="s">
        <v>167</v>
      </c>
      <c r="V2" s="168" t="s">
        <v>167</v>
      </c>
      <c r="W2" s="168" t="s">
        <v>167</v>
      </c>
      <c r="X2" s="168" t="s">
        <v>167</v>
      </c>
      <c r="Y2" s="168" t="s">
        <v>167</v>
      </c>
      <c r="Z2" s="168" t="s">
        <v>167</v>
      </c>
      <c r="AA2" s="168" t="s">
        <v>167</v>
      </c>
      <c r="AB2" s="170" t="s">
        <v>167</v>
      </c>
      <c r="AC2" s="168" t="s">
        <v>167</v>
      </c>
      <c r="AD2" s="168" t="s">
        <v>167</v>
      </c>
      <c r="AE2" s="168" t="s">
        <v>167</v>
      </c>
      <c r="AF2" s="168" t="s">
        <v>167</v>
      </c>
      <c r="AG2" s="168" t="s">
        <v>167</v>
      </c>
      <c r="AH2" s="168" t="s">
        <v>167</v>
      </c>
      <c r="AI2" s="168" t="s">
        <v>167</v>
      </c>
      <c r="AJ2" s="168" t="s">
        <v>167</v>
      </c>
      <c r="AK2" s="170" t="s">
        <v>167</v>
      </c>
      <c r="AL2" s="168" t="s">
        <v>167</v>
      </c>
      <c r="AM2" s="168" t="s">
        <v>167</v>
      </c>
      <c r="AN2" s="168" t="s">
        <v>167</v>
      </c>
      <c r="AO2" s="168" t="s">
        <v>167</v>
      </c>
      <c r="AP2" s="168" t="s">
        <v>167</v>
      </c>
      <c r="AQ2" s="168" t="s">
        <v>167</v>
      </c>
      <c r="AR2" s="168" t="s">
        <v>167</v>
      </c>
      <c r="AS2" s="169" t="s">
        <v>167</v>
      </c>
      <c r="AT2" s="168" t="s">
        <v>111</v>
      </c>
      <c r="AU2" s="168" t="s">
        <v>112</v>
      </c>
      <c r="AV2" s="168" t="s">
        <v>112</v>
      </c>
      <c r="AW2" s="168" t="s">
        <v>112</v>
      </c>
      <c r="AX2" s="168" t="s">
        <v>112</v>
      </c>
      <c r="AY2" s="168" t="s">
        <v>112</v>
      </c>
      <c r="AZ2" s="168" t="s">
        <v>111</v>
      </c>
      <c r="BA2" s="168" t="s">
        <v>112</v>
      </c>
      <c r="BB2" s="168" t="s">
        <v>112</v>
      </c>
      <c r="BC2" s="168" t="s">
        <v>112</v>
      </c>
      <c r="BD2" s="168" t="s">
        <v>112</v>
      </c>
      <c r="BE2" s="168" t="s">
        <v>112</v>
      </c>
      <c r="BF2" s="170" t="s">
        <v>112</v>
      </c>
      <c r="BG2" s="168" t="s">
        <v>111</v>
      </c>
      <c r="BH2" s="168" t="s">
        <v>111</v>
      </c>
      <c r="BI2" s="168" t="s">
        <v>112</v>
      </c>
      <c r="BJ2" s="168" t="s">
        <v>112</v>
      </c>
      <c r="BK2" s="168" t="s">
        <v>111</v>
      </c>
      <c r="BL2" s="168" t="s">
        <v>111</v>
      </c>
      <c r="BM2" s="168" t="s">
        <v>112</v>
      </c>
      <c r="BN2" s="168" t="s">
        <v>112</v>
      </c>
      <c r="BO2" s="168" t="s">
        <v>111</v>
      </c>
      <c r="BP2" s="168" t="s">
        <v>112</v>
      </c>
      <c r="BQ2" s="168" t="s">
        <v>112</v>
      </c>
      <c r="BR2" s="170" t="s">
        <v>112</v>
      </c>
      <c r="BS2" s="168" t="s">
        <v>111</v>
      </c>
      <c r="BT2" s="168" t="s">
        <v>112</v>
      </c>
      <c r="BU2" s="168" t="s">
        <v>112</v>
      </c>
      <c r="BV2" s="168" t="s">
        <v>112</v>
      </c>
      <c r="BW2" s="168" t="s">
        <v>112</v>
      </c>
      <c r="BX2" s="168" t="s">
        <v>112</v>
      </c>
      <c r="BY2" s="168" t="s">
        <v>112</v>
      </c>
      <c r="BZ2" s="168" t="s">
        <v>112</v>
      </c>
      <c r="CA2" s="168" t="s">
        <v>112</v>
      </c>
      <c r="CB2" s="170" t="s">
        <v>112</v>
      </c>
      <c r="CC2" s="168" t="s">
        <v>112</v>
      </c>
      <c r="CD2" s="168" t="s">
        <v>112</v>
      </c>
      <c r="CE2" s="168" t="s">
        <v>112</v>
      </c>
      <c r="CF2" s="168" t="s">
        <v>111</v>
      </c>
      <c r="CG2" s="168" t="s">
        <v>112</v>
      </c>
      <c r="CH2" s="168" t="s">
        <v>112</v>
      </c>
      <c r="CI2" s="168" t="s">
        <v>112</v>
      </c>
      <c r="CJ2" s="168" t="s">
        <v>112</v>
      </c>
      <c r="CK2" s="169" t="s">
        <v>112</v>
      </c>
      <c r="CL2" s="171" t="s">
        <v>150</v>
      </c>
    </row>
    <row r="3" spans="1:91">
      <c r="B3" s="97" t="s">
        <v>102</v>
      </c>
      <c r="C3" s="240"/>
      <c r="D3" s="100"/>
      <c r="E3" s="99"/>
      <c r="F3" s="172" t="s">
        <v>110</v>
      </c>
      <c r="G3" s="173" t="s">
        <v>125</v>
      </c>
      <c r="H3" s="173" t="s">
        <v>132</v>
      </c>
      <c r="I3" s="174" t="s">
        <v>142</v>
      </c>
      <c r="J3" s="173"/>
      <c r="K3" s="290">
        <v>1101</v>
      </c>
      <c r="L3" s="291">
        <v>1110</v>
      </c>
      <c r="M3" s="291">
        <v>1121</v>
      </c>
      <c r="N3" s="291">
        <v>1130</v>
      </c>
      <c r="O3" s="291">
        <v>1140</v>
      </c>
      <c r="P3" s="291">
        <v>1150</v>
      </c>
      <c r="Q3" s="291">
        <v>1161</v>
      </c>
      <c r="R3" s="291">
        <v>1170</v>
      </c>
      <c r="S3" s="291">
        <v>1180</v>
      </c>
      <c r="T3" s="291">
        <v>1190</v>
      </c>
      <c r="U3" s="292">
        <v>1200</v>
      </c>
      <c r="V3" s="291">
        <v>2100</v>
      </c>
      <c r="W3" s="291">
        <v>2110</v>
      </c>
      <c r="X3" s="291">
        <v>2121</v>
      </c>
      <c r="Y3" s="291">
        <v>2131</v>
      </c>
      <c r="Z3" s="291">
        <v>2141</v>
      </c>
      <c r="AA3" s="291">
        <v>2150</v>
      </c>
      <c r="AB3" s="292">
        <v>2160</v>
      </c>
      <c r="AC3" s="291">
        <v>3100</v>
      </c>
      <c r="AD3" s="291">
        <v>3110</v>
      </c>
      <c r="AE3" s="291">
        <v>3120</v>
      </c>
      <c r="AF3" s="291">
        <v>3130</v>
      </c>
      <c r="AG3" s="291">
        <v>3140</v>
      </c>
      <c r="AH3" s="291">
        <v>3151</v>
      </c>
      <c r="AI3" s="291">
        <v>3160</v>
      </c>
      <c r="AJ3" s="291">
        <v>3170</v>
      </c>
      <c r="AK3" s="292">
        <v>3180</v>
      </c>
      <c r="AL3" s="291">
        <v>4100</v>
      </c>
      <c r="AM3" s="291">
        <v>4110</v>
      </c>
      <c r="AN3" s="291">
        <v>4120</v>
      </c>
      <c r="AO3" s="291">
        <v>4131</v>
      </c>
      <c r="AP3" s="291">
        <v>4140</v>
      </c>
      <c r="AQ3" s="291">
        <v>4150</v>
      </c>
      <c r="AR3" s="291">
        <v>4160</v>
      </c>
      <c r="AS3" s="293">
        <v>4170</v>
      </c>
      <c r="AT3" s="173" t="s">
        <v>110</v>
      </c>
      <c r="AU3" s="173" t="s">
        <v>114</v>
      </c>
      <c r="AV3" s="173" t="s">
        <v>115</v>
      </c>
      <c r="AW3" s="173" t="s">
        <v>116</v>
      </c>
      <c r="AX3" s="173" t="s">
        <v>113</v>
      </c>
      <c r="AY3" s="173" t="s">
        <v>117</v>
      </c>
      <c r="AZ3" s="173" t="s">
        <v>118</v>
      </c>
      <c r="BA3" s="173" t="s">
        <v>118</v>
      </c>
      <c r="BB3" s="173" t="s">
        <v>119</v>
      </c>
      <c r="BC3" s="173" t="s">
        <v>120</v>
      </c>
      <c r="BD3" s="173" t="s">
        <v>121</v>
      </c>
      <c r="BE3" s="173" t="s">
        <v>122</v>
      </c>
      <c r="BF3" s="175" t="s">
        <v>257</v>
      </c>
      <c r="BG3" s="173" t="s">
        <v>123</v>
      </c>
      <c r="BH3" s="173" t="s">
        <v>125</v>
      </c>
      <c r="BI3" s="173" t="s">
        <v>125</v>
      </c>
      <c r="BJ3" s="173" t="s">
        <v>124</v>
      </c>
      <c r="BK3" s="173" t="s">
        <v>126</v>
      </c>
      <c r="BL3" s="173" t="s">
        <v>127</v>
      </c>
      <c r="BM3" s="173" t="s">
        <v>128</v>
      </c>
      <c r="BN3" s="173" t="s">
        <v>126</v>
      </c>
      <c r="BO3" s="173" t="s">
        <v>129</v>
      </c>
      <c r="BP3" s="173" t="s">
        <v>130</v>
      </c>
      <c r="BQ3" s="173" t="s">
        <v>129</v>
      </c>
      <c r="BR3" s="175" t="s">
        <v>131</v>
      </c>
      <c r="BS3" s="173" t="s">
        <v>132</v>
      </c>
      <c r="BT3" s="173" t="s">
        <v>132</v>
      </c>
      <c r="BU3" s="173" t="s">
        <v>133</v>
      </c>
      <c r="BV3" s="173" t="s">
        <v>134</v>
      </c>
      <c r="BW3" s="173" t="s">
        <v>135</v>
      </c>
      <c r="BX3" s="173" t="s">
        <v>136</v>
      </c>
      <c r="BY3" s="173" t="s">
        <v>137</v>
      </c>
      <c r="BZ3" s="173" t="s">
        <v>138</v>
      </c>
      <c r="CA3" s="173" t="s">
        <v>139</v>
      </c>
      <c r="CB3" s="175" t="s">
        <v>140</v>
      </c>
      <c r="CC3" s="173" t="s">
        <v>141</v>
      </c>
      <c r="CD3" s="173" t="s">
        <v>142</v>
      </c>
      <c r="CE3" s="173" t="s">
        <v>143</v>
      </c>
      <c r="CF3" s="173" t="s">
        <v>144</v>
      </c>
      <c r="CG3" s="173" t="s">
        <v>144</v>
      </c>
      <c r="CH3" s="173" t="s">
        <v>145</v>
      </c>
      <c r="CI3" s="173" t="s">
        <v>146</v>
      </c>
      <c r="CJ3" s="173" t="s">
        <v>147</v>
      </c>
      <c r="CK3" s="174" t="s">
        <v>148</v>
      </c>
      <c r="CL3" s="176" t="s">
        <v>151</v>
      </c>
    </row>
    <row r="4" spans="1:91">
      <c r="B4" s="97"/>
      <c r="C4" s="240"/>
      <c r="D4" s="100"/>
      <c r="E4" s="99"/>
      <c r="F4" s="172" t="s">
        <v>163</v>
      </c>
      <c r="G4" s="173" t="s">
        <v>164</v>
      </c>
      <c r="H4" s="173" t="s">
        <v>165</v>
      </c>
      <c r="I4" s="174" t="s">
        <v>166</v>
      </c>
      <c r="J4" s="173"/>
      <c r="K4" s="172" t="s">
        <v>168</v>
      </c>
      <c r="L4" s="173" t="s">
        <v>169</v>
      </c>
      <c r="M4" s="173" t="s">
        <v>170</v>
      </c>
      <c r="N4" s="173" t="s">
        <v>27</v>
      </c>
      <c r="O4" s="173" t="s">
        <v>40</v>
      </c>
      <c r="P4" s="173" t="s">
        <v>244</v>
      </c>
      <c r="Q4" s="173" t="s">
        <v>219</v>
      </c>
      <c r="R4" s="173" t="s">
        <v>243</v>
      </c>
      <c r="S4" s="173" t="s">
        <v>218</v>
      </c>
      <c r="T4" s="173" t="s">
        <v>171</v>
      </c>
      <c r="U4" s="175" t="s">
        <v>172</v>
      </c>
      <c r="V4" s="173" t="s">
        <v>242</v>
      </c>
      <c r="W4" s="173" t="s">
        <v>173</v>
      </c>
      <c r="X4" s="173" t="s">
        <v>241</v>
      </c>
      <c r="Y4" s="173" t="s">
        <v>240</v>
      </c>
      <c r="Z4" s="173" t="s">
        <v>174</v>
      </c>
      <c r="AA4" s="173" t="s">
        <v>239</v>
      </c>
      <c r="AB4" s="175" t="s">
        <v>16</v>
      </c>
      <c r="AC4" s="173" t="s">
        <v>175</v>
      </c>
      <c r="AD4" s="173" t="s">
        <v>37</v>
      </c>
      <c r="AE4" s="173" t="s">
        <v>238</v>
      </c>
      <c r="AF4" s="173" t="s">
        <v>33</v>
      </c>
      <c r="AG4" s="173" t="s">
        <v>176</v>
      </c>
      <c r="AH4" s="173" t="s">
        <v>177</v>
      </c>
      <c r="AI4" s="173" t="s">
        <v>36</v>
      </c>
      <c r="AJ4" s="173" t="s">
        <v>35</v>
      </c>
      <c r="AK4" s="175" t="s">
        <v>32</v>
      </c>
      <c r="AL4" s="173" t="s">
        <v>178</v>
      </c>
      <c r="AM4" s="173" t="s">
        <v>25</v>
      </c>
      <c r="AN4" s="173" t="s">
        <v>29</v>
      </c>
      <c r="AO4" s="173" t="s">
        <v>179</v>
      </c>
      <c r="AP4" s="173" t="s">
        <v>30</v>
      </c>
      <c r="AQ4" s="173" t="s">
        <v>24</v>
      </c>
      <c r="AR4" s="173" t="s">
        <v>180</v>
      </c>
      <c r="AS4" s="174" t="s">
        <v>237</v>
      </c>
      <c r="AT4" s="173" t="s">
        <v>154</v>
      </c>
      <c r="AU4" s="173" t="s">
        <v>183</v>
      </c>
      <c r="AV4" s="173" t="s">
        <v>184</v>
      </c>
      <c r="AW4" s="173" t="s">
        <v>185</v>
      </c>
      <c r="AX4" s="173" t="s">
        <v>182</v>
      </c>
      <c r="AY4" s="173" t="s">
        <v>44</v>
      </c>
      <c r="AZ4" s="173" t="s">
        <v>152</v>
      </c>
      <c r="BA4" s="173" t="s">
        <v>153</v>
      </c>
      <c r="BB4" s="173" t="s">
        <v>45</v>
      </c>
      <c r="BC4" s="173" t="s">
        <v>26</v>
      </c>
      <c r="BD4" s="173" t="s">
        <v>46</v>
      </c>
      <c r="BE4" s="173" t="s">
        <v>186</v>
      </c>
      <c r="BF4" s="175" t="s">
        <v>39</v>
      </c>
      <c r="BG4" s="173" t="s">
        <v>155</v>
      </c>
      <c r="BH4" s="173" t="s">
        <v>156</v>
      </c>
      <c r="BI4" s="173" t="s">
        <v>157</v>
      </c>
      <c r="BJ4" s="173" t="s">
        <v>187</v>
      </c>
      <c r="BK4" s="173" t="s">
        <v>158</v>
      </c>
      <c r="BL4" s="173" t="s">
        <v>159</v>
      </c>
      <c r="BM4" s="173" t="s">
        <v>47</v>
      </c>
      <c r="BN4" s="173" t="s">
        <v>48</v>
      </c>
      <c r="BO4" s="173" t="s">
        <v>160</v>
      </c>
      <c r="BP4" s="173" t="s">
        <v>188</v>
      </c>
      <c r="BQ4" s="173" t="s">
        <v>41</v>
      </c>
      <c r="BR4" s="175" t="s">
        <v>38</v>
      </c>
      <c r="BS4" s="173" t="s">
        <v>161</v>
      </c>
      <c r="BT4" s="173" t="s">
        <v>213</v>
      </c>
      <c r="BU4" s="173" t="s">
        <v>189</v>
      </c>
      <c r="BV4" s="173" t="s">
        <v>28</v>
      </c>
      <c r="BW4" s="173" t="s">
        <v>190</v>
      </c>
      <c r="BX4" s="173" t="s">
        <v>49</v>
      </c>
      <c r="BY4" s="173" t="s">
        <v>191</v>
      </c>
      <c r="BZ4" s="173" t="s">
        <v>34</v>
      </c>
      <c r="CA4" s="173" t="s">
        <v>192</v>
      </c>
      <c r="CB4" s="175" t="s">
        <v>193</v>
      </c>
      <c r="CC4" s="173" t="s">
        <v>31</v>
      </c>
      <c r="CD4" s="173" t="s">
        <v>194</v>
      </c>
      <c r="CE4" s="173" t="s">
        <v>50</v>
      </c>
      <c r="CF4" s="173" t="s">
        <v>162</v>
      </c>
      <c r="CG4" s="173" t="s">
        <v>51</v>
      </c>
      <c r="CH4" s="173" t="s">
        <v>195</v>
      </c>
      <c r="CI4" s="173" t="s">
        <v>52</v>
      </c>
      <c r="CJ4" s="173" t="s">
        <v>196</v>
      </c>
      <c r="CK4" s="174" t="s">
        <v>197</v>
      </c>
      <c r="CL4" s="176" t="s">
        <v>55</v>
      </c>
    </row>
    <row r="5" spans="1:91">
      <c r="A5" s="93">
        <f>ROWS($A$3:A3)</f>
        <v>1</v>
      </c>
      <c r="B5" s="132"/>
      <c r="C5" s="133"/>
      <c r="D5" s="331"/>
      <c r="E5" s="331"/>
      <c r="F5" s="232">
        <f>COLUMNS($F$5:F5)</f>
        <v>1</v>
      </c>
      <c r="G5" s="232">
        <f>COLUMNS($F$5:G5)</f>
        <v>2</v>
      </c>
      <c r="H5" s="232">
        <f>COLUMNS($F$5:H5)</f>
        <v>3</v>
      </c>
      <c r="I5" s="233">
        <f>COLUMNS($F$5:I5)</f>
        <v>4</v>
      </c>
      <c r="J5" s="235">
        <f>COLUMNS($F$5:J5)</f>
        <v>5</v>
      </c>
      <c r="K5" s="232">
        <f>COLUMNS($F$5:K5)</f>
        <v>6</v>
      </c>
      <c r="L5" s="232">
        <f>COLUMNS($F$5:L5)</f>
        <v>7</v>
      </c>
      <c r="M5" s="232">
        <f>COLUMNS($F$5:M5)</f>
        <v>8</v>
      </c>
      <c r="N5" s="232">
        <f>COLUMNS($F$5:N5)</f>
        <v>9</v>
      </c>
      <c r="O5" s="232">
        <f>COLUMNS($F$5:O5)</f>
        <v>10</v>
      </c>
      <c r="P5" s="232">
        <f>COLUMNS($F$5:P5)</f>
        <v>11</v>
      </c>
      <c r="Q5" s="232">
        <f>COLUMNS($F$5:Q5)</f>
        <v>12</v>
      </c>
      <c r="R5" s="232">
        <f>COLUMNS($F$5:R5)</f>
        <v>13</v>
      </c>
      <c r="S5" s="232">
        <f>COLUMNS($F$5:S5)</f>
        <v>14</v>
      </c>
      <c r="T5" s="232">
        <f>COLUMNS($F$5:T5)</f>
        <v>15</v>
      </c>
      <c r="U5" s="234">
        <f>COLUMNS($F$5:U5)</f>
        <v>16</v>
      </c>
      <c r="V5" s="232">
        <f>COLUMNS($F$5:V5)</f>
        <v>17</v>
      </c>
      <c r="W5" s="232">
        <f>COLUMNS($F$5:W5)</f>
        <v>18</v>
      </c>
      <c r="X5" s="232">
        <f>COLUMNS($F$5:X5)</f>
        <v>19</v>
      </c>
      <c r="Y5" s="232">
        <f>COLUMNS($F$5:Y5)</f>
        <v>20</v>
      </c>
      <c r="Z5" s="232">
        <f>COLUMNS($F$5:Z5)</f>
        <v>21</v>
      </c>
      <c r="AA5" s="232">
        <f>COLUMNS($F$5:AA5)</f>
        <v>22</v>
      </c>
      <c r="AB5" s="234">
        <f>COLUMNS($F$5:AB5)</f>
        <v>23</v>
      </c>
      <c r="AC5" s="232">
        <f>COLUMNS($F$5:AC5)</f>
        <v>24</v>
      </c>
      <c r="AD5" s="232">
        <f>COLUMNS($F$5:AD5)</f>
        <v>25</v>
      </c>
      <c r="AE5" s="232">
        <f>COLUMNS($F$5:AE5)</f>
        <v>26</v>
      </c>
      <c r="AF5" s="232">
        <f>COLUMNS($F$5:AF5)</f>
        <v>27</v>
      </c>
      <c r="AG5" s="232">
        <f>COLUMNS($F$5:AG5)</f>
        <v>28</v>
      </c>
      <c r="AH5" s="232">
        <f>COLUMNS($F$5:AH5)</f>
        <v>29</v>
      </c>
      <c r="AI5" s="232">
        <f>COLUMNS($F$5:AI5)</f>
        <v>30</v>
      </c>
      <c r="AJ5" s="232">
        <f>COLUMNS($F$5:AJ5)</f>
        <v>31</v>
      </c>
      <c r="AK5" s="234">
        <f>COLUMNS($F$5:AK5)</f>
        <v>32</v>
      </c>
      <c r="AL5" s="232">
        <f>COLUMNS($F$5:AL5)</f>
        <v>33</v>
      </c>
      <c r="AM5" s="232">
        <f>COLUMNS($F$5:AM5)</f>
        <v>34</v>
      </c>
      <c r="AN5" s="232">
        <f>COLUMNS($F$5:AN5)</f>
        <v>35</v>
      </c>
      <c r="AO5" s="232">
        <f>COLUMNS($F$5:AO5)</f>
        <v>36</v>
      </c>
      <c r="AP5" s="232">
        <f>COLUMNS($F$5:AP5)</f>
        <v>37</v>
      </c>
      <c r="AQ5" s="232">
        <f>COLUMNS($F$5:AQ5)</f>
        <v>38</v>
      </c>
      <c r="AR5" s="232">
        <f>COLUMNS($F$5:AR5)</f>
        <v>39</v>
      </c>
      <c r="AS5" s="233">
        <f>COLUMNS($F$5:AS5)</f>
        <v>40</v>
      </c>
      <c r="AT5" s="232">
        <f>COLUMNS($F$5:AT5)</f>
        <v>41</v>
      </c>
      <c r="AU5" s="232">
        <f>COLUMNS($F$5:AU5)</f>
        <v>42</v>
      </c>
      <c r="AV5" s="232">
        <f>COLUMNS($F$5:AV5)</f>
        <v>43</v>
      </c>
      <c r="AW5" s="232">
        <f>COLUMNS($F$5:AW5)</f>
        <v>44</v>
      </c>
      <c r="AX5" s="232">
        <f>COLUMNS($F$5:AX5)</f>
        <v>45</v>
      </c>
      <c r="AY5" s="232">
        <f>COLUMNS($F$5:AY5)</f>
        <v>46</v>
      </c>
      <c r="AZ5" s="232">
        <f>COLUMNS($F$5:AZ5)</f>
        <v>47</v>
      </c>
      <c r="BA5" s="232">
        <f>COLUMNS($F$5:BA5)</f>
        <v>48</v>
      </c>
      <c r="BB5" s="232">
        <f>COLUMNS($F$5:BB5)</f>
        <v>49</v>
      </c>
      <c r="BC5" s="232">
        <f>COLUMNS($F$5:BC5)</f>
        <v>50</v>
      </c>
      <c r="BD5" s="232">
        <f>COLUMNS($F$5:BD5)</f>
        <v>51</v>
      </c>
      <c r="BE5" s="232">
        <f>COLUMNS($F$5:BE5)</f>
        <v>52</v>
      </c>
      <c r="BF5" s="234">
        <f>COLUMNS($F$5:BF5)</f>
        <v>53</v>
      </c>
      <c r="BG5" s="232">
        <f>COLUMNS($F$5:BG5)</f>
        <v>54</v>
      </c>
      <c r="BH5" s="232">
        <f>COLUMNS($F$5:BH5)</f>
        <v>55</v>
      </c>
      <c r="BI5" s="232">
        <f>COLUMNS($F$5:BI5)</f>
        <v>56</v>
      </c>
      <c r="BJ5" s="232">
        <f>COLUMNS($F$5:BJ5)</f>
        <v>57</v>
      </c>
      <c r="BK5" s="232">
        <f>COLUMNS($F$5:BK5)</f>
        <v>58</v>
      </c>
      <c r="BL5" s="232">
        <f>COLUMNS($F$5:BL5)</f>
        <v>59</v>
      </c>
      <c r="BM5" s="232">
        <f>COLUMNS($F$5:BM5)</f>
        <v>60</v>
      </c>
      <c r="BN5" s="232">
        <f>COLUMNS($F$5:BN5)</f>
        <v>61</v>
      </c>
      <c r="BO5" s="232">
        <f>COLUMNS($F$5:BO5)</f>
        <v>62</v>
      </c>
      <c r="BP5" s="232">
        <f>COLUMNS($F$5:BP5)</f>
        <v>63</v>
      </c>
      <c r="BQ5" s="232">
        <f>COLUMNS($F$5:BQ5)</f>
        <v>64</v>
      </c>
      <c r="BR5" s="234">
        <f>COLUMNS($F$5:BR5)</f>
        <v>65</v>
      </c>
      <c r="BS5" s="232">
        <f>COLUMNS($F$5:BS5)</f>
        <v>66</v>
      </c>
      <c r="BT5" s="232">
        <f>COLUMNS($F$5:BT5)</f>
        <v>67</v>
      </c>
      <c r="BU5" s="232">
        <f>COLUMNS($F$5:BU5)</f>
        <v>68</v>
      </c>
      <c r="BV5" s="232">
        <f>COLUMNS($F$5:BV5)</f>
        <v>69</v>
      </c>
      <c r="BW5" s="232">
        <f>COLUMNS($F$5:BW5)</f>
        <v>70</v>
      </c>
      <c r="BX5" s="232">
        <f>COLUMNS($F$5:BX5)</f>
        <v>71</v>
      </c>
      <c r="BY5" s="232">
        <f>COLUMNS($F$5:BY5)</f>
        <v>72</v>
      </c>
      <c r="BZ5" s="232">
        <f>COLUMNS($F$5:BZ5)</f>
        <v>73</v>
      </c>
      <c r="CA5" s="232">
        <f>COLUMNS($F$5:CA5)</f>
        <v>74</v>
      </c>
      <c r="CB5" s="234">
        <f>COLUMNS($F$5:CB5)</f>
        <v>75</v>
      </c>
      <c r="CC5" s="232">
        <f>COLUMNS($F$5:CC5)</f>
        <v>76</v>
      </c>
      <c r="CD5" s="232">
        <f>COLUMNS($F$5:CD5)</f>
        <v>77</v>
      </c>
      <c r="CE5" s="232">
        <f>COLUMNS($F$5:CE5)</f>
        <v>78</v>
      </c>
      <c r="CF5" s="232">
        <f>COLUMNS($F$5:CF5)</f>
        <v>79</v>
      </c>
      <c r="CG5" s="232">
        <f>COLUMNS($F$5:CG5)</f>
        <v>80</v>
      </c>
      <c r="CH5" s="232">
        <f>COLUMNS($F$5:CH5)</f>
        <v>81</v>
      </c>
      <c r="CI5" s="232">
        <f>COLUMNS($F$5:CI5)</f>
        <v>82</v>
      </c>
      <c r="CJ5" s="232">
        <f>COLUMNS($F$5:CJ5)</f>
        <v>83</v>
      </c>
      <c r="CK5" s="233">
        <f>COLUMNS($F$5:CK5)</f>
        <v>84</v>
      </c>
      <c r="CL5" s="233">
        <f>COLUMNS($F$5:CL5)</f>
        <v>85</v>
      </c>
      <c r="CM5" s="131"/>
    </row>
    <row r="6" spans="1:91">
      <c r="A6" s="93">
        <f>ROWS($A$3:A4)</f>
        <v>2</v>
      </c>
      <c r="B6" s="67" t="s">
        <v>108</v>
      </c>
      <c r="C6" s="241"/>
      <c r="D6" s="332"/>
      <c r="E6" s="333"/>
      <c r="F6" s="156"/>
      <c r="G6" s="177"/>
      <c r="H6" s="177"/>
      <c r="I6" s="178"/>
      <c r="J6" s="177"/>
      <c r="K6" s="156"/>
      <c r="L6" s="177"/>
      <c r="M6" s="177"/>
      <c r="N6" s="177"/>
      <c r="O6" s="177"/>
      <c r="P6" s="177"/>
      <c r="Q6" s="177"/>
      <c r="R6" s="177"/>
      <c r="S6" s="177"/>
      <c r="T6" s="177"/>
      <c r="U6" s="179"/>
      <c r="V6" s="177"/>
      <c r="W6" s="177"/>
      <c r="X6" s="177"/>
      <c r="Y6" s="177"/>
      <c r="Z6" s="177"/>
      <c r="AA6" s="177"/>
      <c r="AB6" s="179"/>
      <c r="AC6" s="177"/>
      <c r="AD6" s="177"/>
      <c r="AE6" s="177"/>
      <c r="AF6" s="177"/>
      <c r="AG6" s="177"/>
      <c r="AH6" s="177"/>
      <c r="AI6" s="177"/>
      <c r="AJ6" s="177"/>
      <c r="AK6" s="179"/>
      <c r="AL6" s="177"/>
      <c r="AM6" s="177"/>
      <c r="AN6" s="177"/>
      <c r="AO6" s="177"/>
      <c r="AP6" s="177"/>
      <c r="AQ6" s="177"/>
      <c r="AR6" s="177"/>
      <c r="AS6" s="178"/>
      <c r="AT6" s="177"/>
      <c r="AU6" s="177"/>
      <c r="AV6" s="177"/>
      <c r="AW6" s="177"/>
      <c r="AX6" s="177"/>
      <c r="AY6" s="177"/>
      <c r="AZ6" s="177"/>
      <c r="BA6" s="177"/>
      <c r="BB6" s="177"/>
      <c r="BC6" s="177"/>
      <c r="BD6" s="177"/>
      <c r="BE6" s="177"/>
      <c r="BF6" s="179"/>
      <c r="BG6" s="177"/>
      <c r="BH6" s="177"/>
      <c r="BI6" s="177"/>
      <c r="BJ6" s="177"/>
      <c r="BK6" s="177"/>
      <c r="BL6" s="177"/>
      <c r="BM6" s="177"/>
      <c r="BN6" s="177"/>
      <c r="BO6" s="177"/>
      <c r="BP6" s="177"/>
      <c r="BQ6" s="177"/>
      <c r="BR6" s="179"/>
      <c r="BS6" s="177"/>
      <c r="BT6" s="177"/>
      <c r="BU6" s="177"/>
      <c r="BV6" s="177"/>
      <c r="BW6" s="177"/>
      <c r="BX6" s="177"/>
      <c r="BY6" s="177"/>
      <c r="BZ6" s="177"/>
      <c r="CA6" s="177"/>
      <c r="CB6" s="179"/>
      <c r="CC6" s="177"/>
      <c r="CD6" s="177"/>
      <c r="CE6" s="177"/>
      <c r="CF6" s="177"/>
      <c r="CG6" s="177"/>
      <c r="CH6" s="177"/>
      <c r="CI6" s="177"/>
      <c r="CJ6" s="177"/>
      <c r="CK6" s="178"/>
      <c r="CL6" s="180"/>
    </row>
    <row r="7" spans="1:91">
      <c r="A7" s="93">
        <f>ROWS($A$3:A5)</f>
        <v>3</v>
      </c>
      <c r="B7" s="106" t="s">
        <v>63</v>
      </c>
      <c r="C7" s="242">
        <v>2008</v>
      </c>
      <c r="D7" s="314" t="s">
        <v>1</v>
      </c>
      <c r="E7" s="333"/>
      <c r="F7" s="156">
        <v>1055766</v>
      </c>
      <c r="G7" s="177">
        <v>691919</v>
      </c>
      <c r="H7" s="177">
        <v>935698</v>
      </c>
      <c r="I7" s="178">
        <v>891780</v>
      </c>
      <c r="J7" s="181"/>
      <c r="K7" s="156">
        <f t="shared" ref="K7:K20" si="0">BF7</f>
        <v>151157</v>
      </c>
      <c r="L7" s="177">
        <f t="shared" ref="L7:L20" si="1">AY7</f>
        <v>85814</v>
      </c>
      <c r="M7" s="177">
        <f t="shared" ref="M7:M20" si="2">BD7</f>
        <v>130442</v>
      </c>
      <c r="N7" s="177">
        <f t="shared" ref="N7:N20" si="3">AW7</f>
        <v>64236</v>
      </c>
      <c r="O7" s="177">
        <f t="shared" ref="O7:O20" si="4">BE7</f>
        <v>62712</v>
      </c>
      <c r="P7" s="177">
        <f>'2008'!AZ7+'2008'!BA7</f>
        <v>119983</v>
      </c>
      <c r="Q7" s="177">
        <f>'2008'!AU7</f>
        <v>61783</v>
      </c>
      <c r="R7" s="177">
        <f t="shared" ref="R7:R13" si="5">AT7+AX7</f>
        <v>89418</v>
      </c>
      <c r="S7" s="177">
        <f t="shared" ref="S7:S20" si="6">AV7</f>
        <v>64149</v>
      </c>
      <c r="T7" s="177">
        <f t="shared" ref="T7:T20" si="7">BB7</f>
        <v>77675</v>
      </c>
      <c r="U7" s="179">
        <f t="shared" ref="U7:U20" si="8">BC7</f>
        <v>148406</v>
      </c>
      <c r="V7" s="177">
        <f t="shared" ref="V7:V13" si="9">BG7+BJ7</f>
        <v>87901</v>
      </c>
      <c r="W7" s="177">
        <f t="shared" ref="W7:W20" si="10">BR7</f>
        <v>87068</v>
      </c>
      <c r="X7" s="177">
        <f t="shared" ref="X7:X13" si="11">BH7+BI7</f>
        <v>125844</v>
      </c>
      <c r="Y7" s="177">
        <f t="shared" ref="Y7:Y13" si="12">BK7+BL7+BN7</f>
        <v>131551</v>
      </c>
      <c r="Z7" s="177">
        <f t="shared" ref="Z7:Z20" si="13">BM7</f>
        <v>112631</v>
      </c>
      <c r="AA7" s="177">
        <f t="shared" ref="AA7:AA13" si="14">BO7+BQ7</f>
        <v>67172</v>
      </c>
      <c r="AB7" s="179">
        <f t="shared" ref="AB7:AB20" si="15">BP7</f>
        <v>79752</v>
      </c>
      <c r="AC7" s="177">
        <f t="shared" ref="AC7:AC20" si="16">BX7</f>
        <v>102524</v>
      </c>
      <c r="AD7" s="177">
        <f t="shared" ref="AD7:AD20" si="17">BU7</f>
        <v>67990</v>
      </c>
      <c r="AE7" s="177">
        <f t="shared" ref="AE7:AE13" si="18">BS7+BT7</f>
        <v>153139</v>
      </c>
      <c r="AF7" s="177">
        <f t="shared" ref="AF7:AF20" si="19">CA7</f>
        <v>80681</v>
      </c>
      <c r="AG7" s="177">
        <f t="shared" ref="AG7:AG20" si="20">BV7</f>
        <v>186071</v>
      </c>
      <c r="AH7" s="177">
        <f t="shared" ref="AH7:AH20" si="21">BZ7</f>
        <v>81797</v>
      </c>
      <c r="AI7" s="177">
        <f t="shared" ref="AI7:AI20" si="22">BW7</f>
        <v>76942</v>
      </c>
      <c r="AJ7" s="177">
        <f t="shared" ref="AJ7:AJ20" si="23">BY7</f>
        <v>73435</v>
      </c>
      <c r="AK7" s="179">
        <f t="shared" ref="AK7:AK20" si="24">CB7</f>
        <v>113119</v>
      </c>
      <c r="AL7" s="177">
        <f t="shared" ref="AL7:AL20" si="25">CE7</f>
        <v>91772</v>
      </c>
      <c r="AM7" s="177">
        <f t="shared" ref="AM7:AM20" si="26">CH7</f>
        <v>140982</v>
      </c>
      <c r="AN7" s="177">
        <f t="shared" ref="AN7:AN20" si="27">CJ7</f>
        <v>163181</v>
      </c>
      <c r="AO7" s="177">
        <f t="shared" ref="AO7:AO20" si="28">CC7</f>
        <v>109414</v>
      </c>
      <c r="AP7" s="177">
        <f t="shared" ref="AP7:AP20" si="29">CD7</f>
        <v>51917</v>
      </c>
      <c r="AQ7" s="177">
        <f t="shared" ref="AQ7:AQ20" si="30">CK7</f>
        <v>120436</v>
      </c>
      <c r="AR7" s="177">
        <f t="shared" ref="AR7:AR20" si="31">CI7</f>
        <v>66478</v>
      </c>
      <c r="AS7" s="178">
        <f t="shared" ref="AS7:AS13" si="32">CF7+CG7</f>
        <v>147600</v>
      </c>
      <c r="AT7" s="177">
        <v>20736</v>
      </c>
      <c r="AU7" s="177">
        <v>61783</v>
      </c>
      <c r="AV7" s="177">
        <v>64149</v>
      </c>
      <c r="AW7" s="181">
        <v>64236</v>
      </c>
      <c r="AX7" s="177">
        <v>68682</v>
      </c>
      <c r="AY7" s="177">
        <v>85814</v>
      </c>
      <c r="AZ7" s="177">
        <v>9988</v>
      </c>
      <c r="BA7" s="177">
        <v>109995</v>
      </c>
      <c r="BB7" s="177">
        <v>77675</v>
      </c>
      <c r="BC7" s="177">
        <v>148406</v>
      </c>
      <c r="BD7" s="177">
        <v>130442</v>
      </c>
      <c r="BE7" s="177">
        <v>62712</v>
      </c>
      <c r="BF7" s="179">
        <v>151157</v>
      </c>
      <c r="BG7" s="177">
        <v>14018</v>
      </c>
      <c r="BH7" s="177">
        <v>17346</v>
      </c>
      <c r="BI7" s="177">
        <v>108498</v>
      </c>
      <c r="BJ7" s="177">
        <v>73883</v>
      </c>
      <c r="BK7" s="177">
        <v>10883</v>
      </c>
      <c r="BL7" s="177">
        <v>14496</v>
      </c>
      <c r="BM7" s="177">
        <v>112631</v>
      </c>
      <c r="BN7" s="177">
        <v>106172</v>
      </c>
      <c r="BO7" s="177">
        <v>9803</v>
      </c>
      <c r="BP7" s="177">
        <v>79752</v>
      </c>
      <c r="BQ7" s="177">
        <v>57369</v>
      </c>
      <c r="BR7" s="179">
        <v>87068</v>
      </c>
      <c r="BS7" s="177">
        <v>15306</v>
      </c>
      <c r="BT7" s="177">
        <v>137833</v>
      </c>
      <c r="BU7" s="177">
        <v>67990</v>
      </c>
      <c r="BV7" s="177">
        <v>186071</v>
      </c>
      <c r="BW7" s="177">
        <v>76942</v>
      </c>
      <c r="BX7" s="177">
        <v>102524</v>
      </c>
      <c r="BY7" s="177">
        <v>73435</v>
      </c>
      <c r="BZ7" s="177">
        <v>81797</v>
      </c>
      <c r="CA7" s="177">
        <v>80681</v>
      </c>
      <c r="CB7" s="179">
        <v>113119</v>
      </c>
      <c r="CC7" s="177">
        <v>109414</v>
      </c>
      <c r="CD7" s="177">
        <v>51917</v>
      </c>
      <c r="CE7" s="177">
        <v>91772</v>
      </c>
      <c r="CF7" s="177">
        <v>11869</v>
      </c>
      <c r="CG7" s="177">
        <v>135731</v>
      </c>
      <c r="CH7" s="177">
        <v>140982</v>
      </c>
      <c r="CI7" s="177">
        <v>66478</v>
      </c>
      <c r="CJ7" s="177">
        <v>163181</v>
      </c>
      <c r="CK7" s="178">
        <v>120436</v>
      </c>
      <c r="CL7" s="180">
        <v>3575174</v>
      </c>
      <c r="CM7" s="56"/>
    </row>
    <row r="8" spans="1:91" ht="14.25">
      <c r="A8" s="93">
        <f>ROWS($A$3:A6)</f>
        <v>4</v>
      </c>
      <c r="B8" s="106" t="s">
        <v>261</v>
      </c>
      <c r="C8" s="243"/>
      <c r="D8" s="314" t="s">
        <v>1</v>
      </c>
      <c r="E8" s="333"/>
      <c r="F8" s="156">
        <v>168136</v>
      </c>
      <c r="G8" s="177">
        <v>108311</v>
      </c>
      <c r="H8" s="177">
        <v>108477</v>
      </c>
      <c r="I8" s="178">
        <v>104354</v>
      </c>
      <c r="J8" s="181"/>
      <c r="K8" s="156">
        <f t="shared" si="0"/>
        <v>17897</v>
      </c>
      <c r="L8" s="177">
        <f t="shared" si="1"/>
        <v>14360</v>
      </c>
      <c r="M8" s="177">
        <f t="shared" si="2"/>
        <v>13770</v>
      </c>
      <c r="N8" s="177">
        <f t="shared" si="3"/>
        <v>10220</v>
      </c>
      <c r="O8" s="177">
        <f t="shared" si="4"/>
        <v>7557</v>
      </c>
      <c r="P8" s="177">
        <f>'2008'!AZ8+'2008'!BA8</f>
        <v>21363</v>
      </c>
      <c r="Q8" s="177">
        <f>'2008'!AU8</f>
        <v>13184</v>
      </c>
      <c r="R8" s="177">
        <f t="shared" si="5"/>
        <v>26348</v>
      </c>
      <c r="S8" s="177">
        <f t="shared" si="6"/>
        <v>15283</v>
      </c>
      <c r="T8" s="177">
        <f t="shared" si="7"/>
        <v>9684</v>
      </c>
      <c r="U8" s="179">
        <f t="shared" si="8"/>
        <v>16189</v>
      </c>
      <c r="V8" s="177">
        <f t="shared" si="9"/>
        <v>12079</v>
      </c>
      <c r="W8" s="177">
        <f t="shared" si="10"/>
        <v>8186</v>
      </c>
      <c r="X8" s="177">
        <f t="shared" si="11"/>
        <v>25548</v>
      </c>
      <c r="Y8" s="177">
        <f t="shared" si="12"/>
        <v>31037</v>
      </c>
      <c r="Z8" s="177">
        <f t="shared" si="13"/>
        <v>11580</v>
      </c>
      <c r="AA8" s="177">
        <f t="shared" si="14"/>
        <v>11483</v>
      </c>
      <c r="AB8" s="179">
        <f t="shared" si="15"/>
        <v>8398</v>
      </c>
      <c r="AC8" s="177">
        <f t="shared" si="16"/>
        <v>11360</v>
      </c>
      <c r="AD8" s="177">
        <f t="shared" si="17"/>
        <v>6987</v>
      </c>
      <c r="AE8" s="177">
        <f t="shared" si="18"/>
        <v>18663</v>
      </c>
      <c r="AF8" s="177">
        <f t="shared" si="19"/>
        <v>9785</v>
      </c>
      <c r="AG8" s="177">
        <f t="shared" si="20"/>
        <v>20737</v>
      </c>
      <c r="AH8" s="177">
        <f t="shared" si="21"/>
        <v>12111</v>
      </c>
      <c r="AI8" s="177">
        <f t="shared" si="22"/>
        <v>9529</v>
      </c>
      <c r="AJ8" s="177">
        <f t="shared" si="23"/>
        <v>8173</v>
      </c>
      <c r="AK8" s="179">
        <f t="shared" si="24"/>
        <v>11132</v>
      </c>
      <c r="AL8" s="177">
        <f t="shared" si="25"/>
        <v>11910</v>
      </c>
      <c r="AM8" s="177">
        <f t="shared" si="26"/>
        <v>15213</v>
      </c>
      <c r="AN8" s="177">
        <f t="shared" si="27"/>
        <v>16112</v>
      </c>
      <c r="AO8" s="177">
        <f t="shared" si="28"/>
        <v>13495</v>
      </c>
      <c r="AP8" s="177">
        <f t="shared" si="29"/>
        <v>8970</v>
      </c>
      <c r="AQ8" s="177">
        <f t="shared" si="30"/>
        <v>11311</v>
      </c>
      <c r="AR8" s="177">
        <f t="shared" si="31"/>
        <v>9250</v>
      </c>
      <c r="AS8" s="178">
        <f t="shared" si="32"/>
        <v>18093</v>
      </c>
      <c r="AT8" s="177">
        <v>10441</v>
      </c>
      <c r="AU8" s="177">
        <v>13184</v>
      </c>
      <c r="AV8" s="177">
        <v>15283</v>
      </c>
      <c r="AW8" s="181">
        <v>10220</v>
      </c>
      <c r="AX8" s="177">
        <v>15907</v>
      </c>
      <c r="AY8" s="177">
        <v>14360</v>
      </c>
      <c r="AZ8" s="177">
        <v>3526</v>
      </c>
      <c r="BA8" s="177">
        <v>17837</v>
      </c>
      <c r="BB8" s="177">
        <v>9684</v>
      </c>
      <c r="BC8" s="177">
        <v>16189</v>
      </c>
      <c r="BD8" s="177">
        <v>13770</v>
      </c>
      <c r="BE8" s="177">
        <v>7557</v>
      </c>
      <c r="BF8" s="179">
        <v>17897</v>
      </c>
      <c r="BG8" s="177">
        <v>2016</v>
      </c>
      <c r="BH8" s="177">
        <v>7665</v>
      </c>
      <c r="BI8" s="177">
        <v>17883</v>
      </c>
      <c r="BJ8" s="177">
        <v>10063</v>
      </c>
      <c r="BK8" s="177">
        <v>3189</v>
      </c>
      <c r="BL8" s="177">
        <v>8067</v>
      </c>
      <c r="BM8" s="177">
        <v>11580</v>
      </c>
      <c r="BN8" s="177">
        <v>19781</v>
      </c>
      <c r="BO8" s="177">
        <v>2800</v>
      </c>
      <c r="BP8" s="177">
        <v>8398</v>
      </c>
      <c r="BQ8" s="177">
        <v>8683</v>
      </c>
      <c r="BR8" s="179">
        <v>8186</v>
      </c>
      <c r="BS8" s="177">
        <v>4796</v>
      </c>
      <c r="BT8" s="177">
        <v>13867</v>
      </c>
      <c r="BU8" s="177">
        <v>6987</v>
      </c>
      <c r="BV8" s="177">
        <v>20737</v>
      </c>
      <c r="BW8" s="177">
        <v>9529</v>
      </c>
      <c r="BX8" s="177">
        <v>11360</v>
      </c>
      <c r="BY8" s="177">
        <v>8173</v>
      </c>
      <c r="BZ8" s="177">
        <v>12111</v>
      </c>
      <c r="CA8" s="177">
        <v>9785</v>
      </c>
      <c r="CB8" s="179">
        <v>11132</v>
      </c>
      <c r="CC8" s="177">
        <v>13495</v>
      </c>
      <c r="CD8" s="177">
        <v>8970</v>
      </c>
      <c r="CE8" s="177">
        <v>11910</v>
      </c>
      <c r="CF8" s="177">
        <v>3597</v>
      </c>
      <c r="CG8" s="177">
        <v>14496</v>
      </c>
      <c r="CH8" s="177">
        <v>15213</v>
      </c>
      <c r="CI8" s="177">
        <v>9250</v>
      </c>
      <c r="CJ8" s="177">
        <v>16112</v>
      </c>
      <c r="CK8" s="178">
        <v>11311</v>
      </c>
      <c r="CL8" s="180">
        <v>486992</v>
      </c>
      <c r="CM8" s="56"/>
    </row>
    <row r="9" spans="1:91">
      <c r="A9" s="93">
        <f>ROWS($A$3:A7)</f>
        <v>5</v>
      </c>
      <c r="B9" s="106" t="s">
        <v>0</v>
      </c>
      <c r="C9" s="243"/>
      <c r="D9" s="314" t="s">
        <v>1</v>
      </c>
      <c r="E9" s="333"/>
      <c r="F9" s="156">
        <v>539618</v>
      </c>
      <c r="G9" s="177">
        <v>257601</v>
      </c>
      <c r="H9" s="177">
        <v>376815</v>
      </c>
      <c r="I9" s="178">
        <v>481905</v>
      </c>
      <c r="J9" s="181"/>
      <c r="K9" s="156">
        <f t="shared" si="0"/>
        <v>72750</v>
      </c>
      <c r="L9" s="177">
        <f t="shared" si="1"/>
        <v>36950</v>
      </c>
      <c r="M9" s="177">
        <f t="shared" si="2"/>
        <v>75418</v>
      </c>
      <c r="N9" s="177">
        <f t="shared" si="3"/>
        <v>32684</v>
      </c>
      <c r="O9" s="177">
        <f t="shared" si="4"/>
        <v>27493</v>
      </c>
      <c r="P9" s="177">
        <f>'2008'!AZ9+'2008'!BA9</f>
        <v>66875</v>
      </c>
      <c r="Q9" s="177">
        <f>'2008'!AU9</f>
        <v>26396</v>
      </c>
      <c r="R9" s="177">
        <f t="shared" si="5"/>
        <v>43557</v>
      </c>
      <c r="S9" s="177">
        <f t="shared" si="6"/>
        <v>29110</v>
      </c>
      <c r="T9" s="177">
        <f t="shared" si="7"/>
        <v>44856</v>
      </c>
      <c r="U9" s="179">
        <f t="shared" si="8"/>
        <v>83529</v>
      </c>
      <c r="V9" s="177">
        <f t="shared" si="9"/>
        <v>26621</v>
      </c>
      <c r="W9" s="177">
        <f t="shared" si="10"/>
        <v>23281</v>
      </c>
      <c r="X9" s="177">
        <f t="shared" si="11"/>
        <v>54358</v>
      </c>
      <c r="Y9" s="177">
        <f t="shared" si="12"/>
        <v>52324</v>
      </c>
      <c r="Z9" s="177">
        <f t="shared" si="13"/>
        <v>52341</v>
      </c>
      <c r="AA9" s="177">
        <f t="shared" si="14"/>
        <v>27633</v>
      </c>
      <c r="AB9" s="179">
        <f t="shared" si="15"/>
        <v>21043</v>
      </c>
      <c r="AC9" s="177">
        <f t="shared" si="16"/>
        <v>43126</v>
      </c>
      <c r="AD9" s="177">
        <f t="shared" si="17"/>
        <v>28060</v>
      </c>
      <c r="AE9" s="177">
        <f t="shared" si="18"/>
        <v>59268</v>
      </c>
      <c r="AF9" s="177">
        <f t="shared" si="19"/>
        <v>28084</v>
      </c>
      <c r="AG9" s="177">
        <f t="shared" si="20"/>
        <v>71957</v>
      </c>
      <c r="AH9" s="177">
        <f t="shared" si="21"/>
        <v>40939</v>
      </c>
      <c r="AI9" s="177">
        <f t="shared" si="22"/>
        <v>33219</v>
      </c>
      <c r="AJ9" s="177">
        <f t="shared" si="23"/>
        <v>27594</v>
      </c>
      <c r="AK9" s="179">
        <f t="shared" si="24"/>
        <v>44568</v>
      </c>
      <c r="AL9" s="177">
        <f t="shared" si="25"/>
        <v>41496</v>
      </c>
      <c r="AM9" s="177">
        <f t="shared" si="26"/>
        <v>83580</v>
      </c>
      <c r="AN9" s="177">
        <f t="shared" si="27"/>
        <v>97494</v>
      </c>
      <c r="AO9" s="177">
        <f t="shared" si="28"/>
        <v>54127</v>
      </c>
      <c r="AP9" s="177">
        <f t="shared" si="29"/>
        <v>24138</v>
      </c>
      <c r="AQ9" s="177">
        <f t="shared" si="30"/>
        <v>59188</v>
      </c>
      <c r="AR9" s="177">
        <f t="shared" si="31"/>
        <v>37535</v>
      </c>
      <c r="AS9" s="178">
        <f t="shared" si="32"/>
        <v>84347</v>
      </c>
      <c r="AT9" s="177">
        <v>4968</v>
      </c>
      <c r="AU9" s="177">
        <v>26396</v>
      </c>
      <c r="AV9" s="177">
        <v>29110</v>
      </c>
      <c r="AW9" s="181">
        <v>32684</v>
      </c>
      <c r="AX9" s="177">
        <v>38589</v>
      </c>
      <c r="AY9" s="177">
        <v>36950</v>
      </c>
      <c r="AZ9" s="177">
        <v>4782</v>
      </c>
      <c r="BA9" s="177">
        <v>62093</v>
      </c>
      <c r="BB9" s="177">
        <v>44856</v>
      </c>
      <c r="BC9" s="177">
        <v>83529</v>
      </c>
      <c r="BD9" s="177">
        <v>75418</v>
      </c>
      <c r="BE9" s="177">
        <v>27493</v>
      </c>
      <c r="BF9" s="179">
        <v>72750</v>
      </c>
      <c r="BG9" s="177">
        <v>3154</v>
      </c>
      <c r="BH9" s="177">
        <v>4237</v>
      </c>
      <c r="BI9" s="177">
        <v>50121</v>
      </c>
      <c r="BJ9" s="177">
        <v>23467</v>
      </c>
      <c r="BK9" s="177">
        <v>2977</v>
      </c>
      <c r="BL9" s="177">
        <v>3570</v>
      </c>
      <c r="BM9" s="177">
        <v>52341</v>
      </c>
      <c r="BN9" s="177">
        <v>45777</v>
      </c>
      <c r="BO9" s="177">
        <v>1817</v>
      </c>
      <c r="BP9" s="177">
        <v>21043</v>
      </c>
      <c r="BQ9" s="177">
        <v>25816</v>
      </c>
      <c r="BR9" s="179">
        <v>23281</v>
      </c>
      <c r="BS9" s="177">
        <v>3756</v>
      </c>
      <c r="BT9" s="177">
        <v>55512</v>
      </c>
      <c r="BU9" s="177">
        <v>28060</v>
      </c>
      <c r="BV9" s="177">
        <v>71957</v>
      </c>
      <c r="BW9" s="177">
        <v>33219</v>
      </c>
      <c r="BX9" s="177">
        <v>43126</v>
      </c>
      <c r="BY9" s="177">
        <v>27594</v>
      </c>
      <c r="BZ9" s="177">
        <v>40939</v>
      </c>
      <c r="CA9" s="177">
        <v>28084</v>
      </c>
      <c r="CB9" s="179">
        <v>44568</v>
      </c>
      <c r="CC9" s="177">
        <v>54127</v>
      </c>
      <c r="CD9" s="177">
        <v>24138</v>
      </c>
      <c r="CE9" s="177">
        <v>41496</v>
      </c>
      <c r="CF9" s="177">
        <v>5472</v>
      </c>
      <c r="CG9" s="177">
        <v>78875</v>
      </c>
      <c r="CH9" s="177">
        <v>83580</v>
      </c>
      <c r="CI9" s="177">
        <v>37535</v>
      </c>
      <c r="CJ9" s="177">
        <v>97494</v>
      </c>
      <c r="CK9" s="178">
        <v>59188</v>
      </c>
      <c r="CL9" s="180">
        <v>1655939</v>
      </c>
      <c r="CM9" s="56"/>
    </row>
    <row r="10" spans="1:91">
      <c r="A10" s="93">
        <f>ROWS($A$3:A8)</f>
        <v>6</v>
      </c>
      <c r="B10" s="106" t="s">
        <v>216</v>
      </c>
      <c r="C10" s="243"/>
      <c r="D10" s="314" t="s">
        <v>1</v>
      </c>
      <c r="E10" s="333"/>
      <c r="F10" s="156">
        <v>333380</v>
      </c>
      <c r="G10" s="177">
        <v>309429</v>
      </c>
      <c r="H10" s="177">
        <v>431212</v>
      </c>
      <c r="I10" s="178">
        <v>289006</v>
      </c>
      <c r="J10" s="181"/>
      <c r="K10" s="156">
        <f t="shared" si="0"/>
        <v>58834</v>
      </c>
      <c r="L10" s="177">
        <f t="shared" si="1"/>
        <v>33593</v>
      </c>
      <c r="M10" s="177">
        <f t="shared" si="2"/>
        <v>38367</v>
      </c>
      <c r="N10" s="177">
        <f t="shared" si="3"/>
        <v>20566</v>
      </c>
      <c r="O10" s="177">
        <f t="shared" si="4"/>
        <v>27018</v>
      </c>
      <c r="P10" s="177">
        <f>'2008'!AZ10+'2008'!BA10</f>
        <v>29406</v>
      </c>
      <c r="Q10" s="177">
        <f>'2008'!AU10</f>
        <v>21354</v>
      </c>
      <c r="R10" s="177">
        <f t="shared" si="5"/>
        <v>17386</v>
      </c>
      <c r="S10" s="177">
        <f t="shared" si="6"/>
        <v>18649</v>
      </c>
      <c r="T10" s="177">
        <f t="shared" si="7"/>
        <v>21738</v>
      </c>
      <c r="U10" s="179">
        <f t="shared" si="8"/>
        <v>46469</v>
      </c>
      <c r="V10" s="177">
        <f t="shared" si="9"/>
        <v>45896</v>
      </c>
      <c r="W10" s="177">
        <f t="shared" si="10"/>
        <v>54481</v>
      </c>
      <c r="X10" s="177">
        <f t="shared" si="11"/>
        <v>41180</v>
      </c>
      <c r="Y10" s="177">
        <f t="shared" si="12"/>
        <v>44149</v>
      </c>
      <c r="Z10" s="177">
        <f t="shared" si="13"/>
        <v>47336</v>
      </c>
      <c r="AA10" s="177">
        <f t="shared" si="14"/>
        <v>27115</v>
      </c>
      <c r="AB10" s="179">
        <f t="shared" si="15"/>
        <v>49272</v>
      </c>
      <c r="AC10" s="177">
        <f t="shared" si="16"/>
        <v>46851</v>
      </c>
      <c r="AD10" s="177">
        <f t="shared" si="17"/>
        <v>31075</v>
      </c>
      <c r="AE10" s="177">
        <f t="shared" si="18"/>
        <v>71658</v>
      </c>
      <c r="AF10" s="177">
        <f t="shared" si="19"/>
        <v>41529</v>
      </c>
      <c r="AG10" s="177">
        <f t="shared" si="20"/>
        <v>87830</v>
      </c>
      <c r="AH10" s="177">
        <f t="shared" si="21"/>
        <v>27189</v>
      </c>
      <c r="AI10" s="177">
        <f t="shared" si="22"/>
        <v>33006</v>
      </c>
      <c r="AJ10" s="177">
        <f t="shared" si="23"/>
        <v>36487</v>
      </c>
      <c r="AK10" s="179">
        <f t="shared" si="24"/>
        <v>55587</v>
      </c>
      <c r="AL10" s="177">
        <f t="shared" si="25"/>
        <v>37219</v>
      </c>
      <c r="AM10" s="177">
        <f t="shared" si="26"/>
        <v>39716</v>
      </c>
      <c r="AN10" s="177">
        <f t="shared" si="27"/>
        <v>46612</v>
      </c>
      <c r="AO10" s="177">
        <f t="shared" si="28"/>
        <v>40663</v>
      </c>
      <c r="AP10" s="177">
        <f t="shared" si="29"/>
        <v>17947</v>
      </c>
      <c r="AQ10" s="177">
        <f t="shared" si="30"/>
        <v>45960</v>
      </c>
      <c r="AR10" s="177">
        <f t="shared" si="31"/>
        <v>18594</v>
      </c>
      <c r="AS10" s="178">
        <f t="shared" si="32"/>
        <v>42295</v>
      </c>
      <c r="AT10" s="181">
        <v>4949</v>
      </c>
      <c r="AU10" s="181">
        <v>21354</v>
      </c>
      <c r="AV10" s="181">
        <v>18649</v>
      </c>
      <c r="AW10" s="181">
        <v>20566</v>
      </c>
      <c r="AX10" s="181">
        <v>12437</v>
      </c>
      <c r="AY10" s="177">
        <v>33593</v>
      </c>
      <c r="AZ10" s="177">
        <v>1413</v>
      </c>
      <c r="BA10" s="177">
        <v>27993</v>
      </c>
      <c r="BB10" s="177">
        <v>21738</v>
      </c>
      <c r="BC10" s="177">
        <v>46469</v>
      </c>
      <c r="BD10" s="177">
        <v>38367</v>
      </c>
      <c r="BE10" s="177">
        <v>27018</v>
      </c>
      <c r="BF10" s="179">
        <v>58834</v>
      </c>
      <c r="BG10" s="177">
        <v>8615</v>
      </c>
      <c r="BH10" s="177">
        <v>4535</v>
      </c>
      <c r="BI10" s="177">
        <v>36645</v>
      </c>
      <c r="BJ10" s="177">
        <v>37281</v>
      </c>
      <c r="BK10" s="177">
        <v>4416</v>
      </c>
      <c r="BL10" s="177">
        <v>1848</v>
      </c>
      <c r="BM10" s="177">
        <v>47336</v>
      </c>
      <c r="BN10" s="177">
        <v>37885</v>
      </c>
      <c r="BO10" s="177">
        <v>5080</v>
      </c>
      <c r="BP10" s="177">
        <v>49272</v>
      </c>
      <c r="BQ10" s="177">
        <v>22035</v>
      </c>
      <c r="BR10" s="179">
        <v>54481</v>
      </c>
      <c r="BS10" s="177">
        <v>6480</v>
      </c>
      <c r="BT10" s="177">
        <v>65178</v>
      </c>
      <c r="BU10" s="177">
        <v>31075</v>
      </c>
      <c r="BV10" s="177">
        <v>87830</v>
      </c>
      <c r="BW10" s="177">
        <v>33006</v>
      </c>
      <c r="BX10" s="177">
        <v>46851</v>
      </c>
      <c r="BY10" s="177">
        <v>36487</v>
      </c>
      <c r="BZ10" s="177">
        <v>27189</v>
      </c>
      <c r="CA10" s="177">
        <v>41529</v>
      </c>
      <c r="CB10" s="179">
        <v>55587</v>
      </c>
      <c r="CC10" s="177">
        <v>40663</v>
      </c>
      <c r="CD10" s="177">
        <v>17947</v>
      </c>
      <c r="CE10" s="177">
        <v>37219</v>
      </c>
      <c r="CF10" s="177">
        <v>2246</v>
      </c>
      <c r="CG10" s="177">
        <v>40049</v>
      </c>
      <c r="CH10" s="177">
        <v>39716</v>
      </c>
      <c r="CI10" s="177">
        <v>18594</v>
      </c>
      <c r="CJ10" s="177">
        <v>46612</v>
      </c>
      <c r="CK10" s="178">
        <v>45960</v>
      </c>
      <c r="CL10" s="180">
        <v>1363025</v>
      </c>
      <c r="CM10" s="56"/>
    </row>
    <row r="11" spans="1:91">
      <c r="A11" s="93">
        <f>ROWS($A$3:A9)</f>
        <v>7</v>
      </c>
      <c r="B11" s="106" t="s">
        <v>2</v>
      </c>
      <c r="C11" s="243"/>
      <c r="D11" s="314" t="s">
        <v>1</v>
      </c>
      <c r="E11" s="333"/>
      <c r="F11" s="156">
        <v>8581</v>
      </c>
      <c r="G11" s="177">
        <v>9500</v>
      </c>
      <c r="H11" s="177">
        <v>11330</v>
      </c>
      <c r="I11" s="178">
        <v>7638</v>
      </c>
      <c r="J11" s="181"/>
      <c r="K11" s="156">
        <f t="shared" si="0"/>
        <v>1074</v>
      </c>
      <c r="L11" s="177">
        <f t="shared" si="1"/>
        <v>499</v>
      </c>
      <c r="M11" s="177">
        <f t="shared" si="2"/>
        <v>1037</v>
      </c>
      <c r="N11" s="177">
        <f t="shared" si="3"/>
        <v>287</v>
      </c>
      <c r="O11" s="177">
        <f t="shared" si="4"/>
        <v>246</v>
      </c>
      <c r="P11" s="177">
        <f>'2008'!AZ11+'2008'!BA11</f>
        <v>1413</v>
      </c>
      <c r="Q11" s="177">
        <f>'2008'!AU11</f>
        <v>243</v>
      </c>
      <c r="R11" s="177">
        <f t="shared" si="5"/>
        <v>1156</v>
      </c>
      <c r="S11" s="177">
        <f t="shared" si="6"/>
        <v>617</v>
      </c>
      <c r="T11" s="177">
        <f t="shared" si="7"/>
        <v>782</v>
      </c>
      <c r="U11" s="179">
        <f t="shared" si="8"/>
        <v>1227</v>
      </c>
      <c r="V11" s="177">
        <f t="shared" si="9"/>
        <v>1999</v>
      </c>
      <c r="W11" s="177">
        <f t="shared" si="10"/>
        <v>504</v>
      </c>
      <c r="X11" s="177">
        <f t="shared" si="11"/>
        <v>2950</v>
      </c>
      <c r="Y11" s="177">
        <f t="shared" si="12"/>
        <v>2623</v>
      </c>
      <c r="Z11" s="177">
        <f t="shared" si="13"/>
        <v>715</v>
      </c>
      <c r="AA11" s="177">
        <f t="shared" si="14"/>
        <v>390</v>
      </c>
      <c r="AB11" s="179">
        <f t="shared" si="15"/>
        <v>319</v>
      </c>
      <c r="AC11" s="177">
        <f t="shared" si="16"/>
        <v>643</v>
      </c>
      <c r="AD11" s="177">
        <f t="shared" si="17"/>
        <v>924</v>
      </c>
      <c r="AE11" s="177">
        <f t="shared" si="18"/>
        <v>2215</v>
      </c>
      <c r="AF11" s="177">
        <f t="shared" si="19"/>
        <v>912</v>
      </c>
      <c r="AG11" s="177">
        <f t="shared" si="20"/>
        <v>3486</v>
      </c>
      <c r="AH11" s="177">
        <f t="shared" si="21"/>
        <v>925</v>
      </c>
      <c r="AI11" s="177">
        <f t="shared" si="22"/>
        <v>449</v>
      </c>
      <c r="AJ11" s="177">
        <f t="shared" si="23"/>
        <v>353</v>
      </c>
      <c r="AK11" s="179">
        <f t="shared" si="24"/>
        <v>1423</v>
      </c>
      <c r="AL11" s="177">
        <f t="shared" si="25"/>
        <v>351</v>
      </c>
      <c r="AM11" s="177">
        <f t="shared" si="26"/>
        <v>1478</v>
      </c>
      <c r="AN11" s="177">
        <f t="shared" si="27"/>
        <v>2147</v>
      </c>
      <c r="AO11" s="177">
        <f t="shared" si="28"/>
        <v>260</v>
      </c>
      <c r="AP11" s="177">
        <f t="shared" si="29"/>
        <v>475</v>
      </c>
      <c r="AQ11" s="177">
        <f t="shared" si="30"/>
        <v>1030</v>
      </c>
      <c r="AR11" s="177">
        <f t="shared" si="31"/>
        <v>688</v>
      </c>
      <c r="AS11" s="178">
        <f t="shared" si="32"/>
        <v>1209</v>
      </c>
      <c r="AT11" s="181">
        <v>268</v>
      </c>
      <c r="AU11" s="181">
        <v>243</v>
      </c>
      <c r="AV11" s="181">
        <v>617</v>
      </c>
      <c r="AW11" s="181">
        <v>287</v>
      </c>
      <c r="AX11" s="181">
        <v>888</v>
      </c>
      <c r="AY11" s="177">
        <v>499</v>
      </c>
      <c r="AZ11" s="177">
        <v>218</v>
      </c>
      <c r="BA11" s="177">
        <v>1195</v>
      </c>
      <c r="BB11" s="177">
        <v>782</v>
      </c>
      <c r="BC11" s="177">
        <v>1227</v>
      </c>
      <c r="BD11" s="177">
        <v>1037</v>
      </c>
      <c r="BE11" s="177">
        <v>246</v>
      </c>
      <c r="BF11" s="179">
        <v>1074</v>
      </c>
      <c r="BG11" s="177">
        <v>82</v>
      </c>
      <c r="BH11" s="177">
        <v>672</v>
      </c>
      <c r="BI11" s="177">
        <v>2278</v>
      </c>
      <c r="BJ11" s="177">
        <v>1917</v>
      </c>
      <c r="BK11" s="177">
        <v>252</v>
      </c>
      <c r="BL11" s="177">
        <v>727</v>
      </c>
      <c r="BM11" s="177">
        <v>715</v>
      </c>
      <c r="BN11" s="177">
        <v>1644</v>
      </c>
      <c r="BO11" s="177">
        <v>74</v>
      </c>
      <c r="BP11" s="177">
        <v>319</v>
      </c>
      <c r="BQ11" s="177">
        <v>316</v>
      </c>
      <c r="BR11" s="179">
        <v>504</v>
      </c>
      <c r="BS11" s="177">
        <v>206</v>
      </c>
      <c r="BT11" s="177">
        <v>2009</v>
      </c>
      <c r="BU11" s="177">
        <v>924</v>
      </c>
      <c r="BV11" s="177">
        <v>3486</v>
      </c>
      <c r="BW11" s="177">
        <v>449</v>
      </c>
      <c r="BX11" s="177">
        <v>643</v>
      </c>
      <c r="BY11" s="177">
        <v>353</v>
      </c>
      <c r="BZ11" s="177">
        <v>925</v>
      </c>
      <c r="CA11" s="177">
        <v>912</v>
      </c>
      <c r="CB11" s="179">
        <v>1423</v>
      </c>
      <c r="CC11" s="177">
        <v>260</v>
      </c>
      <c r="CD11" s="177">
        <v>475</v>
      </c>
      <c r="CE11" s="177">
        <v>351</v>
      </c>
      <c r="CF11" s="177">
        <v>155</v>
      </c>
      <c r="CG11" s="177">
        <v>1054</v>
      </c>
      <c r="CH11" s="177">
        <v>1478</v>
      </c>
      <c r="CI11" s="177">
        <v>688</v>
      </c>
      <c r="CJ11" s="177">
        <v>2147</v>
      </c>
      <c r="CK11" s="178">
        <v>1030</v>
      </c>
      <c r="CL11" s="180">
        <v>37052</v>
      </c>
      <c r="CM11" s="56"/>
    </row>
    <row r="12" spans="1:91">
      <c r="A12" s="93">
        <f>ROWS($A$3:A10)</f>
        <v>8</v>
      </c>
      <c r="B12" s="106" t="s">
        <v>217</v>
      </c>
      <c r="C12" s="243"/>
      <c r="D12" s="314" t="s">
        <v>1</v>
      </c>
      <c r="E12" s="333"/>
      <c r="F12" s="156">
        <v>8525</v>
      </c>
      <c r="G12" s="177">
        <v>5987</v>
      </c>
      <c r="H12" s="177">
        <v>6799</v>
      </c>
      <c r="I12" s="178">
        <v>7328</v>
      </c>
      <c r="J12" s="181"/>
      <c r="K12" s="156">
        <f t="shared" si="0"/>
        <v>607</v>
      </c>
      <c r="L12" s="177">
        <f t="shared" si="1"/>
        <v>456</v>
      </c>
      <c r="M12" s="177">
        <f t="shared" si="2"/>
        <v>1829</v>
      </c>
      <c r="N12" s="177">
        <f t="shared" si="3"/>
        <v>502</v>
      </c>
      <c r="O12" s="177">
        <f t="shared" si="4"/>
        <v>339</v>
      </c>
      <c r="P12" s="177">
        <f>'2008'!AZ12+'2008'!BA12</f>
        <v>944</v>
      </c>
      <c r="Q12" s="177">
        <f>'2008'!AU12</f>
        <v>622</v>
      </c>
      <c r="R12" s="177">
        <f t="shared" si="5"/>
        <v>1248</v>
      </c>
      <c r="S12" s="177">
        <f t="shared" si="6"/>
        <v>602</v>
      </c>
      <c r="T12" s="177">
        <f t="shared" si="7"/>
        <v>538</v>
      </c>
      <c r="U12" s="179">
        <f t="shared" si="8"/>
        <v>838</v>
      </c>
      <c r="V12" s="177">
        <f t="shared" si="9"/>
        <v>687</v>
      </c>
      <c r="W12" s="177">
        <f t="shared" si="10"/>
        <v>608</v>
      </c>
      <c r="X12" s="177">
        <f t="shared" si="11"/>
        <v>1432</v>
      </c>
      <c r="Y12" s="177">
        <f t="shared" si="12"/>
        <v>1305</v>
      </c>
      <c r="Z12" s="177">
        <f t="shared" si="13"/>
        <v>623</v>
      </c>
      <c r="AA12" s="177">
        <f t="shared" si="14"/>
        <v>575</v>
      </c>
      <c r="AB12" s="179">
        <f t="shared" si="15"/>
        <v>757</v>
      </c>
      <c r="AC12" s="177">
        <f t="shared" si="16"/>
        <v>529</v>
      </c>
      <c r="AD12" s="177">
        <f t="shared" si="17"/>
        <v>918</v>
      </c>
      <c r="AE12" s="177">
        <f t="shared" si="18"/>
        <v>1281</v>
      </c>
      <c r="AF12" s="177">
        <f t="shared" si="19"/>
        <v>295</v>
      </c>
      <c r="AG12" s="177">
        <f t="shared" si="20"/>
        <v>1578</v>
      </c>
      <c r="AH12" s="177">
        <f t="shared" si="21"/>
        <v>469</v>
      </c>
      <c r="AI12" s="177">
        <f t="shared" si="22"/>
        <v>571</v>
      </c>
      <c r="AJ12" s="177">
        <f t="shared" si="23"/>
        <v>818</v>
      </c>
      <c r="AK12" s="179">
        <f t="shared" si="24"/>
        <v>340</v>
      </c>
      <c r="AL12" s="177">
        <f t="shared" si="25"/>
        <v>744</v>
      </c>
      <c r="AM12" s="177">
        <f t="shared" si="26"/>
        <v>534</v>
      </c>
      <c r="AN12" s="177">
        <f t="shared" si="27"/>
        <v>593</v>
      </c>
      <c r="AO12" s="177">
        <f t="shared" si="28"/>
        <v>855</v>
      </c>
      <c r="AP12" s="177">
        <f t="shared" si="29"/>
        <v>405</v>
      </c>
      <c r="AQ12" s="177">
        <f t="shared" si="30"/>
        <v>2504</v>
      </c>
      <c r="AR12" s="177">
        <f t="shared" si="31"/>
        <v>387</v>
      </c>
      <c r="AS12" s="178">
        <f t="shared" si="32"/>
        <v>1306</v>
      </c>
      <c r="AT12" s="186">
        <v>318</v>
      </c>
      <c r="AU12" s="186">
        <v>622</v>
      </c>
      <c r="AV12" s="186">
        <v>602</v>
      </c>
      <c r="AW12" s="186">
        <v>502</v>
      </c>
      <c r="AX12" s="186">
        <v>930</v>
      </c>
      <c r="AY12" s="186">
        <v>456</v>
      </c>
      <c r="AZ12" s="186">
        <v>87</v>
      </c>
      <c r="BA12" s="186">
        <v>857</v>
      </c>
      <c r="BB12" s="186">
        <v>538</v>
      </c>
      <c r="BC12" s="186">
        <v>838</v>
      </c>
      <c r="BD12" s="186">
        <v>1829</v>
      </c>
      <c r="BE12" s="186">
        <v>339</v>
      </c>
      <c r="BF12" s="187">
        <v>607</v>
      </c>
      <c r="BG12" s="186">
        <v>87</v>
      </c>
      <c r="BH12" s="186">
        <v>250</v>
      </c>
      <c r="BI12" s="186">
        <v>1182</v>
      </c>
      <c r="BJ12" s="186">
        <v>600</v>
      </c>
      <c r="BK12" s="177">
        <v>98</v>
      </c>
      <c r="BL12" s="177">
        <v>348</v>
      </c>
      <c r="BM12" s="177">
        <v>623</v>
      </c>
      <c r="BN12" s="177">
        <v>859</v>
      </c>
      <c r="BO12" s="177">
        <v>82</v>
      </c>
      <c r="BP12" s="177">
        <v>757</v>
      </c>
      <c r="BQ12" s="177">
        <v>493</v>
      </c>
      <c r="BR12" s="179">
        <v>608</v>
      </c>
      <c r="BS12" s="177">
        <v>121</v>
      </c>
      <c r="BT12" s="177">
        <v>1160</v>
      </c>
      <c r="BU12" s="177">
        <v>918</v>
      </c>
      <c r="BV12" s="177">
        <v>1578</v>
      </c>
      <c r="BW12" s="177">
        <v>571</v>
      </c>
      <c r="BX12" s="177">
        <v>529</v>
      </c>
      <c r="BY12" s="177">
        <v>818</v>
      </c>
      <c r="BZ12" s="177">
        <v>469</v>
      </c>
      <c r="CA12" s="177">
        <v>295</v>
      </c>
      <c r="CB12" s="179">
        <v>340</v>
      </c>
      <c r="CC12" s="177">
        <v>855</v>
      </c>
      <c r="CD12" s="177">
        <v>405</v>
      </c>
      <c r="CE12" s="177">
        <v>744</v>
      </c>
      <c r="CF12" s="177">
        <v>392</v>
      </c>
      <c r="CG12" s="177">
        <v>914</v>
      </c>
      <c r="CH12" s="177">
        <v>534</v>
      </c>
      <c r="CI12" s="177">
        <v>387</v>
      </c>
      <c r="CJ12" s="177">
        <v>593</v>
      </c>
      <c r="CK12" s="178">
        <v>2504</v>
      </c>
      <c r="CL12" s="180">
        <v>28639</v>
      </c>
      <c r="CM12" s="56"/>
    </row>
    <row r="13" spans="1:91">
      <c r="A13" s="93">
        <f>ROWS($A$3:A11)</f>
        <v>9</v>
      </c>
      <c r="B13" s="106" t="s">
        <v>69</v>
      </c>
      <c r="C13" s="242">
        <v>2008</v>
      </c>
      <c r="D13" s="314" t="s">
        <v>12</v>
      </c>
      <c r="E13" s="316">
        <v>40442</v>
      </c>
      <c r="F13" s="156">
        <v>4006313</v>
      </c>
      <c r="G13" s="177">
        <v>2740164</v>
      </c>
      <c r="H13" s="177">
        <v>2195681</v>
      </c>
      <c r="I13" s="178">
        <v>1807348</v>
      </c>
      <c r="J13" s="181"/>
      <c r="K13" s="156">
        <f t="shared" si="0"/>
        <v>313576</v>
      </c>
      <c r="L13" s="177">
        <f t="shared" si="1"/>
        <v>416255</v>
      </c>
      <c r="M13" s="177">
        <f t="shared" si="2"/>
        <v>134939</v>
      </c>
      <c r="N13" s="177">
        <f t="shared" si="3"/>
        <v>254833</v>
      </c>
      <c r="O13" s="177">
        <f t="shared" si="4"/>
        <v>132773</v>
      </c>
      <c r="P13" s="177">
        <f>'2008'!AZ13+'2008'!BA13</f>
        <v>451841</v>
      </c>
      <c r="Q13" s="177">
        <f>'2008'!AU13</f>
        <v>372827</v>
      </c>
      <c r="R13" s="177">
        <f t="shared" si="5"/>
        <v>1115966</v>
      </c>
      <c r="S13" s="177">
        <f t="shared" si="6"/>
        <v>514646</v>
      </c>
      <c r="T13" s="177">
        <f t="shared" si="7"/>
        <v>109499</v>
      </c>
      <c r="U13" s="179">
        <f t="shared" si="8"/>
        <v>189158</v>
      </c>
      <c r="V13" s="177">
        <f t="shared" si="9"/>
        <v>281888</v>
      </c>
      <c r="W13" s="177">
        <f t="shared" si="10"/>
        <v>121272</v>
      </c>
      <c r="X13" s="177">
        <f t="shared" si="11"/>
        <v>722117</v>
      </c>
      <c r="Y13" s="177">
        <f t="shared" si="12"/>
        <v>992268</v>
      </c>
      <c r="Z13" s="177">
        <f t="shared" si="13"/>
        <v>148763</v>
      </c>
      <c r="AA13" s="177">
        <f t="shared" si="14"/>
        <v>315154</v>
      </c>
      <c r="AB13" s="179">
        <f t="shared" si="15"/>
        <v>158702</v>
      </c>
      <c r="AC13" s="177">
        <f t="shared" si="16"/>
        <v>208691</v>
      </c>
      <c r="AD13" s="177">
        <f t="shared" si="17"/>
        <v>157667</v>
      </c>
      <c r="AE13" s="177">
        <f t="shared" si="18"/>
        <v>469797</v>
      </c>
      <c r="AF13" s="177">
        <f t="shared" si="19"/>
        <v>222596</v>
      </c>
      <c r="AG13" s="177">
        <f t="shared" si="20"/>
        <v>417613</v>
      </c>
      <c r="AH13" s="177">
        <f t="shared" si="21"/>
        <v>276240</v>
      </c>
      <c r="AI13" s="177">
        <f t="shared" si="22"/>
        <v>141073</v>
      </c>
      <c r="AJ13" s="177">
        <f t="shared" si="23"/>
        <v>135141</v>
      </c>
      <c r="AK13" s="179">
        <f t="shared" si="24"/>
        <v>166863</v>
      </c>
      <c r="AL13" s="177">
        <f t="shared" si="25"/>
        <v>190294</v>
      </c>
      <c r="AM13" s="177">
        <f t="shared" si="26"/>
        <v>189296</v>
      </c>
      <c r="AN13" s="177">
        <f t="shared" si="27"/>
        <v>276474</v>
      </c>
      <c r="AO13" s="177">
        <f t="shared" si="28"/>
        <v>281080</v>
      </c>
      <c r="AP13" s="177">
        <f t="shared" si="29"/>
        <v>218692</v>
      </c>
      <c r="AQ13" s="177">
        <f t="shared" si="30"/>
        <v>131695</v>
      </c>
      <c r="AR13" s="177">
        <f t="shared" si="31"/>
        <v>207766</v>
      </c>
      <c r="AS13" s="178">
        <f t="shared" si="32"/>
        <v>312051</v>
      </c>
      <c r="AT13" s="181">
        <v>600068</v>
      </c>
      <c r="AU13" s="181">
        <v>372827</v>
      </c>
      <c r="AV13" s="181">
        <v>514646</v>
      </c>
      <c r="AW13" s="181">
        <v>254833</v>
      </c>
      <c r="AX13" s="181">
        <v>515898</v>
      </c>
      <c r="AY13" s="177">
        <v>416255</v>
      </c>
      <c r="AZ13" s="177">
        <v>122098</v>
      </c>
      <c r="BA13" s="177">
        <v>329743</v>
      </c>
      <c r="BB13" s="177">
        <v>109499</v>
      </c>
      <c r="BC13" s="177">
        <v>189158</v>
      </c>
      <c r="BD13" s="177">
        <v>134939</v>
      </c>
      <c r="BE13" s="177">
        <v>132773</v>
      </c>
      <c r="BF13" s="179">
        <v>313576</v>
      </c>
      <c r="BG13" s="177">
        <v>54777</v>
      </c>
      <c r="BH13" s="177">
        <v>290736</v>
      </c>
      <c r="BI13" s="177">
        <v>431381</v>
      </c>
      <c r="BJ13" s="177">
        <v>227111</v>
      </c>
      <c r="BK13" s="177">
        <v>145642</v>
      </c>
      <c r="BL13" s="177">
        <v>311342</v>
      </c>
      <c r="BM13" s="177">
        <v>148763</v>
      </c>
      <c r="BN13" s="177">
        <v>535284</v>
      </c>
      <c r="BO13" s="177">
        <v>119839</v>
      </c>
      <c r="BP13" s="177">
        <v>158702</v>
      </c>
      <c r="BQ13" s="177">
        <v>195315</v>
      </c>
      <c r="BR13" s="179">
        <v>121272</v>
      </c>
      <c r="BS13" s="177">
        <v>219665</v>
      </c>
      <c r="BT13" s="177">
        <v>250132</v>
      </c>
      <c r="BU13" s="177">
        <v>157667</v>
      </c>
      <c r="BV13" s="177">
        <v>417613</v>
      </c>
      <c r="BW13" s="177">
        <v>141073</v>
      </c>
      <c r="BX13" s="177">
        <v>208691</v>
      </c>
      <c r="BY13" s="177">
        <v>135141</v>
      </c>
      <c r="BZ13" s="177">
        <v>276240</v>
      </c>
      <c r="CA13" s="177">
        <v>222596</v>
      </c>
      <c r="CB13" s="179">
        <v>166863</v>
      </c>
      <c r="CC13" s="177">
        <v>281080</v>
      </c>
      <c r="CD13" s="177">
        <v>218692</v>
      </c>
      <c r="CE13" s="177">
        <v>190294</v>
      </c>
      <c r="CF13" s="177">
        <v>121648</v>
      </c>
      <c r="CG13" s="177">
        <v>190403</v>
      </c>
      <c r="CH13" s="177">
        <v>189296</v>
      </c>
      <c r="CI13" s="177">
        <v>207766</v>
      </c>
      <c r="CJ13" s="177">
        <v>276474</v>
      </c>
      <c r="CK13" s="178">
        <v>131695</v>
      </c>
      <c r="CL13" s="180">
        <v>10749506</v>
      </c>
      <c r="CM13" s="56"/>
    </row>
    <row r="14" spans="1:91">
      <c r="A14" s="93">
        <f>ROWS($A$3:A12)</f>
        <v>10</v>
      </c>
      <c r="B14" s="297" t="s">
        <v>64</v>
      </c>
      <c r="C14" s="312"/>
      <c r="D14" s="314" t="s">
        <v>13</v>
      </c>
      <c r="E14" s="333"/>
      <c r="F14" s="182">
        <f>F13/F7*100</f>
        <v>379.46978781282974</v>
      </c>
      <c r="G14" s="183">
        <f>G13/G7*100</f>
        <v>396.02381203580188</v>
      </c>
      <c r="H14" s="183">
        <f>H13/H7*100</f>
        <v>234.6570154045429</v>
      </c>
      <c r="I14" s="184">
        <f>I13/I7*100</f>
        <v>202.66747404068269</v>
      </c>
      <c r="J14" s="181"/>
      <c r="K14" s="185">
        <f t="shared" si="0"/>
        <v>207.45053156651693</v>
      </c>
      <c r="L14" s="186">
        <f t="shared" si="1"/>
        <v>485.06653925932835</v>
      </c>
      <c r="M14" s="186">
        <f t="shared" si="2"/>
        <v>103.44750923782217</v>
      </c>
      <c r="N14" s="186">
        <f t="shared" si="3"/>
        <v>396.71368080204246</v>
      </c>
      <c r="O14" s="186">
        <f t="shared" si="4"/>
        <v>211.71865033805329</v>
      </c>
      <c r="P14" s="183">
        <f>P13/P7*100</f>
        <v>376.58751656484668</v>
      </c>
      <c r="Q14" s="186">
        <f>'2008'!AU14</f>
        <v>603.44593172879274</v>
      </c>
      <c r="R14" s="183">
        <f>R13/R7*100</f>
        <v>1248.0328345523271</v>
      </c>
      <c r="S14" s="186">
        <f t="shared" si="6"/>
        <v>802.26659807635338</v>
      </c>
      <c r="T14" s="186">
        <f t="shared" si="7"/>
        <v>140.97071129707112</v>
      </c>
      <c r="U14" s="187">
        <f t="shared" si="8"/>
        <v>127.4598062072962</v>
      </c>
      <c r="V14" s="183">
        <f>V13/V7*100</f>
        <v>320.68804677990011</v>
      </c>
      <c r="W14" s="186">
        <f t="shared" si="10"/>
        <v>139.28423760738733</v>
      </c>
      <c r="X14" s="183">
        <f>X13/X7*100</f>
        <v>573.81917294428013</v>
      </c>
      <c r="Y14" s="183">
        <f>Y13/Y7*100</f>
        <v>754.2838898982144</v>
      </c>
      <c r="Z14" s="186">
        <f t="shared" si="13"/>
        <v>132.07997798119524</v>
      </c>
      <c r="AA14" s="183">
        <f>AA13/AA7*100</f>
        <v>469.1746561067111</v>
      </c>
      <c r="AB14" s="187">
        <f t="shared" si="15"/>
        <v>198.99438258601666</v>
      </c>
      <c r="AC14" s="186">
        <f t="shared" si="16"/>
        <v>203.55331434590926</v>
      </c>
      <c r="AD14" s="186">
        <f t="shared" si="17"/>
        <v>231.89733784380056</v>
      </c>
      <c r="AE14" s="183">
        <f>AE13/AE7*100</f>
        <v>306.778155793103</v>
      </c>
      <c r="AF14" s="186">
        <f t="shared" si="19"/>
        <v>275.89643162578551</v>
      </c>
      <c r="AG14" s="186">
        <f t="shared" si="20"/>
        <v>224.43744592118065</v>
      </c>
      <c r="AH14" s="186">
        <f t="shared" si="21"/>
        <v>337.71409709402548</v>
      </c>
      <c r="AI14" s="186">
        <f t="shared" si="22"/>
        <v>183.34979595019624</v>
      </c>
      <c r="AJ14" s="186">
        <f t="shared" si="23"/>
        <v>184.02805201879212</v>
      </c>
      <c r="AK14" s="187">
        <f t="shared" si="24"/>
        <v>147.511028209231</v>
      </c>
      <c r="AL14" s="186">
        <f t="shared" si="25"/>
        <v>207.35518458789173</v>
      </c>
      <c r="AM14" s="186">
        <f t="shared" si="26"/>
        <v>134.26962307244895</v>
      </c>
      <c r="AN14" s="186">
        <f t="shared" si="27"/>
        <v>169.42781328708611</v>
      </c>
      <c r="AO14" s="186">
        <f t="shared" si="28"/>
        <v>256.89582685945129</v>
      </c>
      <c r="AP14" s="186">
        <f t="shared" si="29"/>
        <v>421.23389255927731</v>
      </c>
      <c r="AQ14" s="186">
        <f t="shared" si="30"/>
        <v>109.34853366103158</v>
      </c>
      <c r="AR14" s="186">
        <f t="shared" si="31"/>
        <v>312.53346971930563</v>
      </c>
      <c r="AS14" s="184">
        <f t="shared" ref="AS14:CL14" si="33">AS13/AS7*100</f>
        <v>211.41666666666669</v>
      </c>
      <c r="AT14" s="183">
        <f t="shared" si="33"/>
        <v>2893.8464506172841</v>
      </c>
      <c r="AU14" s="183">
        <f t="shared" si="33"/>
        <v>603.44593172879274</v>
      </c>
      <c r="AV14" s="183">
        <f t="shared" si="33"/>
        <v>802.26659807635338</v>
      </c>
      <c r="AW14" s="183">
        <f t="shared" si="33"/>
        <v>396.71368080204246</v>
      </c>
      <c r="AX14" s="183">
        <f t="shared" si="33"/>
        <v>751.14003669083604</v>
      </c>
      <c r="AY14" s="183">
        <f t="shared" si="33"/>
        <v>485.06653925932835</v>
      </c>
      <c r="AZ14" s="183">
        <f t="shared" si="33"/>
        <v>1222.4469363235883</v>
      </c>
      <c r="BA14" s="183">
        <f t="shared" si="33"/>
        <v>299.77998999954542</v>
      </c>
      <c r="BB14" s="183">
        <f t="shared" si="33"/>
        <v>140.97071129707112</v>
      </c>
      <c r="BC14" s="183">
        <f t="shared" si="33"/>
        <v>127.4598062072962</v>
      </c>
      <c r="BD14" s="183">
        <f t="shared" si="33"/>
        <v>103.44750923782217</v>
      </c>
      <c r="BE14" s="183">
        <f t="shared" si="33"/>
        <v>211.71865033805329</v>
      </c>
      <c r="BF14" s="188">
        <f t="shared" si="33"/>
        <v>207.45053156651693</v>
      </c>
      <c r="BG14" s="183">
        <f t="shared" si="33"/>
        <v>390.76187758596092</v>
      </c>
      <c r="BH14" s="183">
        <f t="shared" si="33"/>
        <v>1676.0982359045315</v>
      </c>
      <c r="BI14" s="183">
        <f t="shared" si="33"/>
        <v>397.59350402772401</v>
      </c>
      <c r="BJ14" s="183">
        <f t="shared" si="33"/>
        <v>307.39276964931037</v>
      </c>
      <c r="BK14" s="183">
        <f t="shared" si="33"/>
        <v>1338.2523201323165</v>
      </c>
      <c r="BL14" s="183">
        <f t="shared" si="33"/>
        <v>2147.778697571744</v>
      </c>
      <c r="BM14" s="183">
        <f t="shared" si="33"/>
        <v>132.07997798119524</v>
      </c>
      <c r="BN14" s="183">
        <f t="shared" si="33"/>
        <v>504.16682364465208</v>
      </c>
      <c r="BO14" s="183">
        <f t="shared" si="33"/>
        <v>1222.472712434969</v>
      </c>
      <c r="BP14" s="183">
        <f t="shared" si="33"/>
        <v>198.99438258601666</v>
      </c>
      <c r="BQ14" s="183">
        <f t="shared" si="33"/>
        <v>340.45390367620143</v>
      </c>
      <c r="BR14" s="188">
        <f t="shared" si="33"/>
        <v>139.28423760738733</v>
      </c>
      <c r="BS14" s="183">
        <f t="shared" si="33"/>
        <v>1435.1561479158499</v>
      </c>
      <c r="BT14" s="183">
        <f t="shared" si="33"/>
        <v>181.47468313103539</v>
      </c>
      <c r="BU14" s="183">
        <f t="shared" si="33"/>
        <v>231.89733784380056</v>
      </c>
      <c r="BV14" s="183">
        <f t="shared" si="33"/>
        <v>224.43744592118065</v>
      </c>
      <c r="BW14" s="183">
        <f t="shared" si="33"/>
        <v>183.34979595019624</v>
      </c>
      <c r="BX14" s="183">
        <f t="shared" si="33"/>
        <v>203.55331434590926</v>
      </c>
      <c r="BY14" s="183">
        <f t="shared" si="33"/>
        <v>184.02805201879212</v>
      </c>
      <c r="BZ14" s="183">
        <f t="shared" si="33"/>
        <v>337.71409709402548</v>
      </c>
      <c r="CA14" s="183">
        <f t="shared" si="33"/>
        <v>275.89643162578551</v>
      </c>
      <c r="CB14" s="188">
        <f t="shared" si="33"/>
        <v>147.511028209231</v>
      </c>
      <c r="CC14" s="183">
        <f t="shared" si="33"/>
        <v>256.89582685945129</v>
      </c>
      <c r="CD14" s="183">
        <f t="shared" si="33"/>
        <v>421.23389255927731</v>
      </c>
      <c r="CE14" s="183">
        <f t="shared" si="33"/>
        <v>207.35518458789173</v>
      </c>
      <c r="CF14" s="183">
        <f t="shared" si="33"/>
        <v>1024.9220658859213</v>
      </c>
      <c r="CG14" s="183">
        <f t="shared" si="33"/>
        <v>140.27967081948856</v>
      </c>
      <c r="CH14" s="183">
        <f t="shared" si="33"/>
        <v>134.26962307244895</v>
      </c>
      <c r="CI14" s="183">
        <f t="shared" si="33"/>
        <v>312.53346971930563</v>
      </c>
      <c r="CJ14" s="183">
        <f t="shared" si="33"/>
        <v>169.42781328708611</v>
      </c>
      <c r="CK14" s="184">
        <f t="shared" si="33"/>
        <v>109.34853366103158</v>
      </c>
      <c r="CL14" s="189">
        <f t="shared" si="33"/>
        <v>300.67084846779488</v>
      </c>
    </row>
    <row r="15" spans="1:91">
      <c r="A15" s="93">
        <f>ROWS($A$3:A13)</f>
        <v>11</v>
      </c>
      <c r="B15" s="67" t="s">
        <v>303</v>
      </c>
      <c r="C15" s="312"/>
      <c r="D15" s="314"/>
      <c r="E15" s="333"/>
      <c r="F15" s="182"/>
      <c r="G15" s="183"/>
      <c r="H15" s="183"/>
      <c r="I15" s="184"/>
      <c r="J15" s="181"/>
      <c r="K15" s="185"/>
      <c r="L15" s="186"/>
      <c r="M15" s="186"/>
      <c r="N15" s="186"/>
      <c r="O15" s="186"/>
      <c r="P15" s="183"/>
      <c r="Q15" s="186"/>
      <c r="R15" s="183"/>
      <c r="S15" s="186"/>
      <c r="T15" s="186"/>
      <c r="U15" s="187"/>
      <c r="V15" s="183"/>
      <c r="W15" s="186"/>
      <c r="X15" s="183"/>
      <c r="Y15" s="183"/>
      <c r="Z15" s="186"/>
      <c r="AA15" s="183"/>
      <c r="AB15" s="187"/>
      <c r="AC15" s="186"/>
      <c r="AD15" s="186"/>
      <c r="AE15" s="183"/>
      <c r="AF15" s="186"/>
      <c r="AG15" s="186"/>
      <c r="AH15" s="186"/>
      <c r="AI15" s="186"/>
      <c r="AJ15" s="186"/>
      <c r="AK15" s="187"/>
      <c r="AL15" s="186"/>
      <c r="AM15" s="186"/>
      <c r="AN15" s="186"/>
      <c r="AO15" s="186"/>
      <c r="AP15" s="186"/>
      <c r="AQ15" s="186"/>
      <c r="AR15" s="186"/>
      <c r="AS15" s="184"/>
      <c r="AT15" s="183"/>
      <c r="AU15" s="183"/>
      <c r="AV15" s="183"/>
      <c r="AW15" s="183"/>
      <c r="AX15" s="183"/>
      <c r="AY15" s="183"/>
      <c r="AZ15" s="183"/>
      <c r="BA15" s="183"/>
      <c r="BB15" s="183"/>
      <c r="BC15" s="183"/>
      <c r="BD15" s="183"/>
      <c r="BE15" s="183"/>
      <c r="BF15" s="188"/>
      <c r="BG15" s="183"/>
      <c r="BH15" s="183"/>
      <c r="BI15" s="183"/>
      <c r="BJ15" s="183"/>
      <c r="BK15" s="183"/>
      <c r="BL15" s="183"/>
      <c r="BM15" s="183"/>
      <c r="BN15" s="183"/>
      <c r="BO15" s="183"/>
      <c r="BP15" s="183"/>
      <c r="BQ15" s="183"/>
      <c r="BR15" s="188"/>
      <c r="BS15" s="183"/>
      <c r="BT15" s="183"/>
      <c r="BU15" s="183"/>
      <c r="BV15" s="183"/>
      <c r="BW15" s="183"/>
      <c r="BX15" s="183"/>
      <c r="BY15" s="183"/>
      <c r="BZ15" s="183"/>
      <c r="CA15" s="183"/>
      <c r="CB15" s="188"/>
      <c r="CC15" s="183"/>
      <c r="CD15" s="183"/>
      <c r="CE15" s="183"/>
      <c r="CF15" s="183"/>
      <c r="CG15" s="183"/>
      <c r="CH15" s="183"/>
      <c r="CI15" s="183"/>
      <c r="CJ15" s="183"/>
      <c r="CK15" s="184"/>
      <c r="CL15" s="189"/>
    </row>
    <row r="16" spans="1:91">
      <c r="A16" s="93">
        <f>ROWS($A$3:A14)</f>
        <v>12</v>
      </c>
      <c r="B16" s="106" t="s">
        <v>214</v>
      </c>
      <c r="C16" s="242">
        <v>2008</v>
      </c>
      <c r="D16" s="314" t="s">
        <v>12</v>
      </c>
      <c r="E16" s="316">
        <v>40679</v>
      </c>
      <c r="F16" s="156">
        <v>2163100</v>
      </c>
      <c r="G16" s="177">
        <v>1436700</v>
      </c>
      <c r="H16" s="177">
        <v>1086100</v>
      </c>
      <c r="I16" s="178">
        <v>915700</v>
      </c>
      <c r="J16" s="181"/>
      <c r="K16" s="156">
        <f t="shared" si="0"/>
        <v>151000</v>
      </c>
      <c r="L16" s="177">
        <f t="shared" si="1"/>
        <v>184700</v>
      </c>
      <c r="M16" s="177">
        <f t="shared" si="2"/>
        <v>70400</v>
      </c>
      <c r="N16" s="177">
        <f t="shared" si="3"/>
        <v>113100</v>
      </c>
      <c r="O16" s="177">
        <f t="shared" si="4"/>
        <v>64200</v>
      </c>
      <c r="P16" s="177">
        <f>'2008'!AZ16+'2008'!BA16</f>
        <v>245400</v>
      </c>
      <c r="Q16" s="177">
        <f>'2008'!AU16</f>
        <v>210400</v>
      </c>
      <c r="R16" s="177">
        <f>AT16+AX16</f>
        <v>711100</v>
      </c>
      <c r="S16" s="177">
        <f t="shared" si="6"/>
        <v>254400</v>
      </c>
      <c r="T16" s="177">
        <f t="shared" si="7"/>
        <v>61900</v>
      </c>
      <c r="U16" s="179">
        <f t="shared" si="8"/>
        <v>96300</v>
      </c>
      <c r="V16" s="177">
        <f>BG16+BJ16</f>
        <v>155200</v>
      </c>
      <c r="W16" s="177">
        <f t="shared" si="10"/>
        <v>60700</v>
      </c>
      <c r="X16" s="177">
        <f>BH16+BI16</f>
        <v>408700</v>
      </c>
      <c r="Y16" s="177">
        <f>BK16+BL16+BN16</f>
        <v>543000</v>
      </c>
      <c r="Z16" s="177">
        <f t="shared" si="13"/>
        <v>62300</v>
      </c>
      <c r="AA16" s="177">
        <f>BO16+BQ16</f>
        <v>145700</v>
      </c>
      <c r="AB16" s="179">
        <f t="shared" si="15"/>
        <v>61100</v>
      </c>
      <c r="AC16" s="177">
        <f t="shared" si="16"/>
        <v>109800</v>
      </c>
      <c r="AD16" s="177">
        <f t="shared" si="17"/>
        <v>63900</v>
      </c>
      <c r="AE16" s="177">
        <f>BS16+BT16</f>
        <v>250700</v>
      </c>
      <c r="AF16" s="177">
        <f t="shared" si="19"/>
        <v>101300</v>
      </c>
      <c r="AG16" s="177">
        <f t="shared" si="20"/>
        <v>220800</v>
      </c>
      <c r="AH16" s="177">
        <f t="shared" si="21"/>
        <v>127000</v>
      </c>
      <c r="AI16" s="177">
        <f t="shared" si="22"/>
        <v>70400</v>
      </c>
      <c r="AJ16" s="177">
        <f t="shared" si="23"/>
        <v>70800</v>
      </c>
      <c r="AK16" s="179">
        <f t="shared" si="24"/>
        <v>71600</v>
      </c>
      <c r="AL16" s="177">
        <f t="shared" si="25"/>
        <v>88000</v>
      </c>
      <c r="AM16" s="177">
        <f t="shared" si="26"/>
        <v>95700</v>
      </c>
      <c r="AN16" s="177">
        <f t="shared" si="27"/>
        <v>142000</v>
      </c>
      <c r="AO16" s="177">
        <f t="shared" si="28"/>
        <v>139200</v>
      </c>
      <c r="AP16" s="177">
        <f t="shared" si="29"/>
        <v>96900</v>
      </c>
      <c r="AQ16" s="177">
        <f t="shared" si="30"/>
        <v>64400</v>
      </c>
      <c r="AR16" s="177">
        <f t="shared" si="31"/>
        <v>106600</v>
      </c>
      <c r="AS16" s="178">
        <f>CF16+CG16</f>
        <v>183100</v>
      </c>
      <c r="AT16" s="181">
        <v>471600</v>
      </c>
      <c r="AU16" s="181">
        <v>210400</v>
      </c>
      <c r="AV16" s="181">
        <v>254400</v>
      </c>
      <c r="AW16" s="181">
        <v>113100</v>
      </c>
      <c r="AX16" s="181">
        <v>239500</v>
      </c>
      <c r="AY16" s="177">
        <v>184700</v>
      </c>
      <c r="AZ16" s="177">
        <v>94200</v>
      </c>
      <c r="BA16" s="177">
        <v>151200</v>
      </c>
      <c r="BB16" s="177">
        <v>61900</v>
      </c>
      <c r="BC16" s="177">
        <v>96300</v>
      </c>
      <c r="BD16" s="177">
        <v>70400</v>
      </c>
      <c r="BE16" s="177">
        <v>64200</v>
      </c>
      <c r="BF16" s="179">
        <v>151000</v>
      </c>
      <c r="BG16" s="177">
        <v>42900</v>
      </c>
      <c r="BH16" s="177">
        <v>217100</v>
      </c>
      <c r="BI16" s="177">
        <v>191600</v>
      </c>
      <c r="BJ16" s="177">
        <v>112300</v>
      </c>
      <c r="BK16" s="177">
        <v>109700</v>
      </c>
      <c r="BL16" s="177">
        <v>219200</v>
      </c>
      <c r="BM16" s="177">
        <v>62300</v>
      </c>
      <c r="BN16" s="177">
        <v>214100</v>
      </c>
      <c r="BO16" s="177">
        <v>69700</v>
      </c>
      <c r="BP16" s="177">
        <v>61100</v>
      </c>
      <c r="BQ16" s="177">
        <v>76000</v>
      </c>
      <c r="BR16" s="179">
        <v>60700</v>
      </c>
      <c r="BS16" s="177">
        <v>147300</v>
      </c>
      <c r="BT16" s="177">
        <v>103400</v>
      </c>
      <c r="BU16" s="177">
        <v>63900</v>
      </c>
      <c r="BV16" s="177">
        <v>220800</v>
      </c>
      <c r="BW16" s="177">
        <v>70400</v>
      </c>
      <c r="BX16" s="177">
        <v>109800</v>
      </c>
      <c r="BY16" s="177">
        <v>70800</v>
      </c>
      <c r="BZ16" s="177">
        <v>127000</v>
      </c>
      <c r="CA16" s="177">
        <v>101300</v>
      </c>
      <c r="CB16" s="179">
        <v>71600</v>
      </c>
      <c r="CC16" s="177">
        <v>139200</v>
      </c>
      <c r="CD16" s="177">
        <v>96900</v>
      </c>
      <c r="CE16" s="177">
        <v>88000</v>
      </c>
      <c r="CF16" s="177">
        <v>111900</v>
      </c>
      <c r="CG16" s="177">
        <v>71200</v>
      </c>
      <c r="CH16" s="177">
        <v>95700</v>
      </c>
      <c r="CI16" s="177">
        <v>106600</v>
      </c>
      <c r="CJ16" s="177">
        <v>142000</v>
      </c>
      <c r="CK16" s="178">
        <v>64400</v>
      </c>
      <c r="CL16" s="180">
        <v>5601600</v>
      </c>
    </row>
    <row r="17" spans="1:90" ht="14.25">
      <c r="A17" s="93">
        <f>ROWS($A$3:A15)</f>
        <v>13</v>
      </c>
      <c r="B17" s="62" t="s">
        <v>262</v>
      </c>
      <c r="C17" s="312"/>
      <c r="D17" s="314" t="s">
        <v>4</v>
      </c>
      <c r="E17" s="316"/>
      <c r="F17" s="207">
        <f>(AT16*AT17+AU16*AU17+AV16*AV17+AW16*AW17+AX16*AX17+AY16*AY17+AZ16*AZ17+BA16*BA17+BB16*BB17+BC16*BC17+BD16*BD17+BE16*BE17+BF16*BF17)/F16</f>
        <v>4.1762100688826225</v>
      </c>
      <c r="G17" s="208">
        <f>(BG16*BG17+BH16*BH17+BI16*BI17+BJ16*BJ17+BK16*BK17+BL16*BL17+BM16*BM17+BN16*BN17+BO16*BO17+BP16*BP17+BQ16*BQ17+BR16*BR17)/G16</f>
        <v>5.1521124799888636</v>
      </c>
      <c r="H17" s="208">
        <f>(BS16*BS17+BT16*BT17+BU16*BU17+BV16*BV17+BW16*BW17+BX16*BX17+BY16*BY17+BZ16*BZ17+CA16*CA17+CB16*CB17)/H16</f>
        <v>4.2882147131939972</v>
      </c>
      <c r="I17" s="209">
        <f>(CC16*CC17+CD16*CD17+CE16*CE17+CF16*CF17+CG16*CG17+CH16*CH17+CI16*CI17+CJ16*CJ17+CK16*CK17)/I16</f>
        <v>3.5882712678824942</v>
      </c>
      <c r="J17" s="213"/>
      <c r="K17" s="210">
        <f t="shared" si="0"/>
        <v>3.7</v>
      </c>
      <c r="L17" s="211">
        <f t="shared" si="1"/>
        <v>3.8</v>
      </c>
      <c r="M17" s="211">
        <f t="shared" si="2"/>
        <v>4</v>
      </c>
      <c r="N17" s="211">
        <f t="shared" si="3"/>
        <v>4</v>
      </c>
      <c r="O17" s="211">
        <f t="shared" si="4"/>
        <v>4.3</v>
      </c>
      <c r="P17" s="208">
        <f>ROUND((AZ16*AZ17/100+BA16*BA17/100)/P16%,1)</f>
        <v>4.7</v>
      </c>
      <c r="Q17" s="211">
        <f>'2008'!AU17</f>
        <v>4</v>
      </c>
      <c r="R17" s="208">
        <f>ROUND((AT16*AT17/100+AX16*AX17/100)/R16%,1)</f>
        <v>4.8</v>
      </c>
      <c r="S17" s="211">
        <f t="shared" si="6"/>
        <v>3.4</v>
      </c>
      <c r="T17" s="211">
        <f t="shared" si="7"/>
        <v>3.2</v>
      </c>
      <c r="U17" s="212">
        <f t="shared" si="8"/>
        <v>3.3</v>
      </c>
      <c r="V17" s="208">
        <f>ROUND((BG16*BG17/100+BJ16*BJ17/100)/V16%,1)</f>
        <v>4.2</v>
      </c>
      <c r="W17" s="211">
        <f t="shared" si="10"/>
        <v>3.8</v>
      </c>
      <c r="X17" s="208">
        <f>ROUND((BH16*BH17/100+BI16*BI17/100)/X16%,1)</f>
        <v>5.0999999999999996</v>
      </c>
      <c r="Y17" s="208">
        <f>ROUND((BK16*BK17/100+BL16*BL17/100+BN16*BN17/100)/Y16%,1)</f>
        <v>5.9</v>
      </c>
      <c r="Z17" s="211">
        <f t="shared" si="13"/>
        <v>4.3</v>
      </c>
      <c r="AA17" s="208">
        <f>ROUND((BO16*BO17/100+BQ16*BQ17/100)/AA16%,1)</f>
        <v>5</v>
      </c>
      <c r="AB17" s="212">
        <f t="shared" si="15"/>
        <v>3.9</v>
      </c>
      <c r="AC17" s="211">
        <f t="shared" si="16"/>
        <v>3.9</v>
      </c>
      <c r="AD17" s="211">
        <f t="shared" si="17"/>
        <v>3.3</v>
      </c>
      <c r="AE17" s="208">
        <f>ROUND((BS16*BS17/100+BT16*BT17/100)/AE16%,1)</f>
        <v>5.8</v>
      </c>
      <c r="AF17" s="211">
        <f t="shared" si="19"/>
        <v>4.3</v>
      </c>
      <c r="AG17" s="211">
        <f t="shared" si="20"/>
        <v>3.7</v>
      </c>
      <c r="AH17" s="211">
        <f t="shared" si="21"/>
        <v>4.5</v>
      </c>
      <c r="AI17" s="211">
        <f t="shared" si="22"/>
        <v>3.3</v>
      </c>
      <c r="AJ17" s="211">
        <f t="shared" si="23"/>
        <v>3.3</v>
      </c>
      <c r="AK17" s="212">
        <f t="shared" si="24"/>
        <v>3.9</v>
      </c>
      <c r="AL17" s="211">
        <f t="shared" si="25"/>
        <v>4.5999999999999996</v>
      </c>
      <c r="AM17" s="211">
        <f t="shared" si="26"/>
        <v>2.2999999999999998</v>
      </c>
      <c r="AN17" s="211">
        <f t="shared" si="27"/>
        <v>3</v>
      </c>
      <c r="AO17" s="211">
        <f t="shared" si="28"/>
        <v>3.6</v>
      </c>
      <c r="AP17" s="211">
        <f t="shared" si="29"/>
        <v>3.9</v>
      </c>
      <c r="AQ17" s="211">
        <f t="shared" si="30"/>
        <v>4.0999999999999996</v>
      </c>
      <c r="AR17" s="211">
        <f t="shared" si="31"/>
        <v>3.4</v>
      </c>
      <c r="AS17" s="209">
        <f>ROUND((CF16*CF17/100+CG16*CG17/100)/AS16%,1)</f>
        <v>4</v>
      </c>
      <c r="AT17" s="213">
        <v>5.3</v>
      </c>
      <c r="AU17" s="213">
        <v>4</v>
      </c>
      <c r="AV17" s="213">
        <v>3.4</v>
      </c>
      <c r="AW17" s="213">
        <v>4</v>
      </c>
      <c r="AX17" s="213">
        <v>3.7</v>
      </c>
      <c r="AY17" s="211">
        <v>3.8</v>
      </c>
      <c r="AZ17" s="211">
        <v>6</v>
      </c>
      <c r="BA17" s="211">
        <v>3.9</v>
      </c>
      <c r="BB17" s="211">
        <v>3.2</v>
      </c>
      <c r="BC17" s="211">
        <v>3.3</v>
      </c>
      <c r="BD17" s="211">
        <v>4</v>
      </c>
      <c r="BE17" s="211">
        <v>4.3</v>
      </c>
      <c r="BF17" s="212">
        <v>3.7</v>
      </c>
      <c r="BG17" s="211">
        <v>6.1</v>
      </c>
      <c r="BH17" s="211">
        <v>6.4</v>
      </c>
      <c r="BI17" s="211">
        <v>3.6</v>
      </c>
      <c r="BJ17" s="211">
        <v>3.5</v>
      </c>
      <c r="BK17" s="211">
        <v>6</v>
      </c>
      <c r="BL17" s="211">
        <v>7.5</v>
      </c>
      <c r="BM17" s="211">
        <v>4.3</v>
      </c>
      <c r="BN17" s="211">
        <v>4.2</v>
      </c>
      <c r="BO17" s="211">
        <v>7.2</v>
      </c>
      <c r="BP17" s="211">
        <v>3.9</v>
      </c>
      <c r="BQ17" s="211">
        <v>3</v>
      </c>
      <c r="BR17" s="212">
        <v>3.8</v>
      </c>
      <c r="BS17" s="211">
        <v>7.1</v>
      </c>
      <c r="BT17" s="211">
        <v>3.9</v>
      </c>
      <c r="BU17" s="211">
        <v>3.3</v>
      </c>
      <c r="BV17" s="211">
        <v>3.7</v>
      </c>
      <c r="BW17" s="211">
        <v>3.3</v>
      </c>
      <c r="BX17" s="211">
        <v>3.9</v>
      </c>
      <c r="BY17" s="211">
        <v>3.3</v>
      </c>
      <c r="BZ17" s="211">
        <v>4.5</v>
      </c>
      <c r="CA17" s="211">
        <v>4.3</v>
      </c>
      <c r="CB17" s="212">
        <v>3.9</v>
      </c>
      <c r="CC17" s="211">
        <v>3.6</v>
      </c>
      <c r="CD17" s="211">
        <v>3.9</v>
      </c>
      <c r="CE17" s="211">
        <v>4.5999999999999996</v>
      </c>
      <c r="CF17" s="211">
        <v>4.8</v>
      </c>
      <c r="CG17" s="211">
        <v>2.7</v>
      </c>
      <c r="CH17" s="211">
        <v>2.2999999999999998</v>
      </c>
      <c r="CI17" s="211">
        <v>3.4</v>
      </c>
      <c r="CJ17" s="211">
        <v>3</v>
      </c>
      <c r="CK17" s="214">
        <v>4.0999999999999996</v>
      </c>
      <c r="CL17" s="215">
        <v>4.0999999999999996</v>
      </c>
    </row>
    <row r="18" spans="1:90">
      <c r="A18" s="93">
        <f>ROWS($A$3:A16)</f>
        <v>14</v>
      </c>
      <c r="B18" s="297" t="s">
        <v>304</v>
      </c>
      <c r="C18" s="242">
        <v>2007</v>
      </c>
      <c r="D18" s="314" t="s">
        <v>12</v>
      </c>
      <c r="E18" s="316"/>
      <c r="F18" s="156">
        <v>84065</v>
      </c>
      <c r="G18" s="177">
        <v>29190</v>
      </c>
      <c r="H18" s="177">
        <v>77208</v>
      </c>
      <c r="I18" s="178">
        <v>46957</v>
      </c>
      <c r="J18" s="213"/>
      <c r="K18" s="156">
        <f>BF18</f>
        <v>6256</v>
      </c>
      <c r="L18" s="177">
        <f>AY18</f>
        <v>8739</v>
      </c>
      <c r="M18" s="177">
        <f>BD18</f>
        <v>6943</v>
      </c>
      <c r="N18" s="177">
        <f>AW18</f>
        <v>2639</v>
      </c>
      <c r="O18" s="177">
        <f>BE18</f>
        <v>1814</v>
      </c>
      <c r="P18" s="183">
        <f>'2008'!AZ18+'2008'!BA18</f>
        <v>21440</v>
      </c>
      <c r="Q18" s="177">
        <f>'2008'!AU18</f>
        <v>2519</v>
      </c>
      <c r="R18" s="183">
        <f>AT18+AX18</f>
        <v>14752</v>
      </c>
      <c r="S18" s="177">
        <f>AV18</f>
        <v>4108</v>
      </c>
      <c r="T18" s="177">
        <f>BB18</f>
        <v>7702</v>
      </c>
      <c r="U18" s="179">
        <f>BC18</f>
        <v>7153</v>
      </c>
      <c r="V18" s="183">
        <f>BG18+BJ18</f>
        <v>6080</v>
      </c>
      <c r="W18" s="177">
        <f>BR18</f>
        <v>1976</v>
      </c>
      <c r="X18" s="183">
        <f>BH18+BI18</f>
        <v>5832</v>
      </c>
      <c r="Y18" s="183">
        <f>BK18+BL18+BN18</f>
        <v>7989</v>
      </c>
      <c r="Z18" s="177">
        <f>BM18</f>
        <v>3095</v>
      </c>
      <c r="AA18" s="183">
        <f>BO18+BQ18</f>
        <v>2360</v>
      </c>
      <c r="AB18" s="179">
        <f>BP18</f>
        <v>1858</v>
      </c>
      <c r="AC18" s="177">
        <f>BX18</f>
        <v>3803</v>
      </c>
      <c r="AD18" s="177">
        <f>BU18</f>
        <v>10040</v>
      </c>
      <c r="AE18" s="183">
        <f>BS18+BT18</f>
        <v>22621</v>
      </c>
      <c r="AF18" s="177">
        <f>CA18</f>
        <v>5993</v>
      </c>
      <c r="AG18" s="177">
        <f>BV18</f>
        <v>21077</v>
      </c>
      <c r="AH18" s="177">
        <f>BZ18</f>
        <v>4856</v>
      </c>
      <c r="AI18" s="177">
        <f>BW18</f>
        <v>2841</v>
      </c>
      <c r="AJ18" s="177">
        <f>BY18</f>
        <v>1487</v>
      </c>
      <c r="AK18" s="179">
        <f>CB18</f>
        <v>4490</v>
      </c>
      <c r="AL18" s="177">
        <f>CE18</f>
        <v>2263</v>
      </c>
      <c r="AM18" s="177">
        <f>CH18</f>
        <v>5995</v>
      </c>
      <c r="AN18" s="177">
        <f>CJ18</f>
        <v>9801</v>
      </c>
      <c r="AO18" s="177">
        <f>CC18</f>
        <v>3932</v>
      </c>
      <c r="AP18" s="177">
        <f>CD18</f>
        <v>1573</v>
      </c>
      <c r="AQ18" s="177">
        <f>CK18</f>
        <v>4297</v>
      </c>
      <c r="AR18" s="177">
        <f>CI18</f>
        <v>12635</v>
      </c>
      <c r="AS18" s="184">
        <f>CF18+CG18</f>
        <v>6461</v>
      </c>
      <c r="AT18" s="177">
        <v>2417</v>
      </c>
      <c r="AU18" s="177">
        <v>2519</v>
      </c>
      <c r="AV18" s="177">
        <v>4108</v>
      </c>
      <c r="AW18" s="181">
        <v>2639</v>
      </c>
      <c r="AX18" s="177">
        <v>12335</v>
      </c>
      <c r="AY18" s="177">
        <v>8739</v>
      </c>
      <c r="AZ18" s="177">
        <v>2151</v>
      </c>
      <c r="BA18" s="177">
        <v>19289</v>
      </c>
      <c r="BB18" s="177">
        <v>7702</v>
      </c>
      <c r="BC18" s="177">
        <v>7153</v>
      </c>
      <c r="BD18" s="177">
        <v>6943</v>
      </c>
      <c r="BE18" s="177">
        <v>1814</v>
      </c>
      <c r="BF18" s="179">
        <v>6256</v>
      </c>
      <c r="BG18" s="177">
        <v>1187</v>
      </c>
      <c r="BH18" s="177">
        <v>704</v>
      </c>
      <c r="BI18" s="177">
        <v>5128</v>
      </c>
      <c r="BJ18" s="177">
        <v>4893</v>
      </c>
      <c r="BK18" s="177">
        <v>774</v>
      </c>
      <c r="BL18" s="177">
        <v>453</v>
      </c>
      <c r="BM18" s="177">
        <v>3095</v>
      </c>
      <c r="BN18" s="177">
        <v>6762</v>
      </c>
      <c r="BO18" s="177">
        <v>168</v>
      </c>
      <c r="BP18" s="177">
        <v>1858</v>
      </c>
      <c r="BQ18" s="177">
        <v>2192</v>
      </c>
      <c r="BR18" s="179">
        <v>1976</v>
      </c>
      <c r="BS18" s="177">
        <v>1807</v>
      </c>
      <c r="BT18" s="177">
        <v>20814</v>
      </c>
      <c r="BU18" s="177">
        <v>10040</v>
      </c>
      <c r="BV18" s="177">
        <v>21077</v>
      </c>
      <c r="BW18" s="177">
        <v>2841</v>
      </c>
      <c r="BX18" s="177">
        <v>3803</v>
      </c>
      <c r="BY18" s="177">
        <v>1487</v>
      </c>
      <c r="BZ18" s="177">
        <v>4856</v>
      </c>
      <c r="CA18" s="177">
        <v>5993</v>
      </c>
      <c r="CB18" s="179">
        <v>4490</v>
      </c>
      <c r="CC18" s="177">
        <v>3932</v>
      </c>
      <c r="CD18" s="177">
        <v>1573</v>
      </c>
      <c r="CE18" s="177">
        <v>2263</v>
      </c>
      <c r="CF18" s="177">
        <v>491</v>
      </c>
      <c r="CG18" s="177">
        <v>5970</v>
      </c>
      <c r="CH18" s="177">
        <v>5995</v>
      </c>
      <c r="CI18" s="177">
        <v>12635</v>
      </c>
      <c r="CJ18" s="177">
        <v>9801</v>
      </c>
      <c r="CK18" s="178">
        <v>4297</v>
      </c>
      <c r="CL18" s="180">
        <v>237420</v>
      </c>
    </row>
    <row r="19" spans="1:90">
      <c r="A19" s="93">
        <f>ROWS($A$3:A17)</f>
        <v>15</v>
      </c>
      <c r="B19" s="297" t="s">
        <v>302</v>
      </c>
      <c r="C19" s="242">
        <v>2008</v>
      </c>
      <c r="D19" s="314" t="s">
        <v>12</v>
      </c>
      <c r="E19" s="322">
        <v>40897</v>
      </c>
      <c r="F19" s="377">
        <v>5077</v>
      </c>
      <c r="G19" s="181">
        <v>2723</v>
      </c>
      <c r="H19" s="181">
        <v>3240</v>
      </c>
      <c r="I19" s="373">
        <v>3002</v>
      </c>
      <c r="J19" s="181"/>
      <c r="K19" s="156">
        <f>BF19</f>
        <v>449</v>
      </c>
      <c r="L19" s="177">
        <f>AY19</f>
        <v>539</v>
      </c>
      <c r="M19" s="177">
        <f>BD19</f>
        <v>205</v>
      </c>
      <c r="N19" s="177">
        <f>AW19</f>
        <v>209</v>
      </c>
      <c r="O19" s="177">
        <f>BE19</f>
        <v>116</v>
      </c>
      <c r="P19" s="183">
        <f>'2008'!AZ19+'2008'!BA19</f>
        <v>779</v>
      </c>
      <c r="Q19" s="177">
        <f>'2008'!AU19</f>
        <v>225</v>
      </c>
      <c r="R19" s="183">
        <f>AT19+AX19</f>
        <v>1310</v>
      </c>
      <c r="S19" s="177">
        <f>AV19</f>
        <v>521</v>
      </c>
      <c r="T19" s="177">
        <f>BB19</f>
        <v>320</v>
      </c>
      <c r="U19" s="179">
        <f>BC19</f>
        <v>404</v>
      </c>
      <c r="V19" s="183">
        <f>BG19+BJ19</f>
        <v>593</v>
      </c>
      <c r="W19" s="177">
        <f>BR19</f>
        <v>91</v>
      </c>
      <c r="X19" s="183">
        <f>BH19+BI19</f>
        <v>400</v>
      </c>
      <c r="Y19" s="183">
        <f>BK19+BL19+BN19</f>
        <v>639</v>
      </c>
      <c r="Z19" s="177">
        <f>BM19</f>
        <v>534</v>
      </c>
      <c r="AA19" s="183">
        <f>BO19+BQ19</f>
        <v>310</v>
      </c>
      <c r="AB19" s="179">
        <f>BP19</f>
        <v>156</v>
      </c>
      <c r="AC19" s="177">
        <f>BX19</f>
        <v>192</v>
      </c>
      <c r="AD19" s="177">
        <f>BU19</f>
        <v>287</v>
      </c>
      <c r="AE19" s="183">
        <f>BS19+BT19</f>
        <v>613</v>
      </c>
      <c r="AF19" s="177">
        <f>CA19</f>
        <v>393</v>
      </c>
      <c r="AG19" s="177">
        <f>BV19</f>
        <v>750</v>
      </c>
      <c r="AH19" s="177">
        <f>BZ19</f>
        <v>560</v>
      </c>
      <c r="AI19" s="177">
        <f>BW19</f>
        <v>174</v>
      </c>
      <c r="AJ19" s="177">
        <f>BY19</f>
        <v>113</v>
      </c>
      <c r="AK19" s="179">
        <f>CB19</f>
        <v>158</v>
      </c>
      <c r="AL19" s="177">
        <f>CE19</f>
        <v>186</v>
      </c>
      <c r="AM19" s="177">
        <f>CH19</f>
        <v>375</v>
      </c>
      <c r="AN19" s="177">
        <f>CJ19</f>
        <v>559</v>
      </c>
      <c r="AO19" s="177">
        <f>CC19</f>
        <v>447</v>
      </c>
      <c r="AP19" s="177">
        <f>CD19</f>
        <v>135</v>
      </c>
      <c r="AQ19" s="177">
        <f>CK19</f>
        <v>384</v>
      </c>
      <c r="AR19" s="177">
        <f>CI19</f>
        <v>609</v>
      </c>
      <c r="AS19" s="184">
        <f>CF19+CG19</f>
        <v>307</v>
      </c>
      <c r="AT19" s="181">
        <v>388</v>
      </c>
      <c r="AU19" s="181">
        <v>225</v>
      </c>
      <c r="AV19" s="181">
        <v>521</v>
      </c>
      <c r="AW19" s="181">
        <v>209</v>
      </c>
      <c r="AX19" s="181">
        <v>922</v>
      </c>
      <c r="AY19" s="177">
        <v>539</v>
      </c>
      <c r="AZ19" s="177">
        <v>187</v>
      </c>
      <c r="BA19" s="177">
        <v>592</v>
      </c>
      <c r="BB19" s="177">
        <v>320</v>
      </c>
      <c r="BC19" s="177">
        <v>404</v>
      </c>
      <c r="BD19" s="177">
        <v>205</v>
      </c>
      <c r="BE19" s="177">
        <v>116</v>
      </c>
      <c r="BF19" s="179">
        <v>449</v>
      </c>
      <c r="BG19" s="177">
        <v>127</v>
      </c>
      <c r="BH19" s="177">
        <v>309</v>
      </c>
      <c r="BI19" s="177">
        <v>91</v>
      </c>
      <c r="BJ19" s="177">
        <v>466</v>
      </c>
      <c r="BK19" s="177">
        <v>112</v>
      </c>
      <c r="BL19" s="177">
        <v>238</v>
      </c>
      <c r="BM19" s="177">
        <v>534</v>
      </c>
      <c r="BN19" s="177">
        <v>289</v>
      </c>
      <c r="BO19" s="177">
        <v>61</v>
      </c>
      <c r="BP19" s="177">
        <v>156</v>
      </c>
      <c r="BQ19" s="177">
        <v>249</v>
      </c>
      <c r="BR19" s="179">
        <v>91</v>
      </c>
      <c r="BS19" s="177">
        <v>67</v>
      </c>
      <c r="BT19" s="177">
        <v>546</v>
      </c>
      <c r="BU19" s="177">
        <v>287</v>
      </c>
      <c r="BV19" s="177">
        <v>750</v>
      </c>
      <c r="BW19" s="177">
        <v>174</v>
      </c>
      <c r="BX19" s="177">
        <v>192</v>
      </c>
      <c r="BY19" s="177">
        <v>113</v>
      </c>
      <c r="BZ19" s="177">
        <v>560</v>
      </c>
      <c r="CA19" s="177">
        <v>393</v>
      </c>
      <c r="CB19" s="179">
        <v>158</v>
      </c>
      <c r="CC19" s="177">
        <v>447</v>
      </c>
      <c r="CD19" s="177">
        <v>135</v>
      </c>
      <c r="CE19" s="177">
        <v>186</v>
      </c>
      <c r="CF19" s="177">
        <v>52</v>
      </c>
      <c r="CG19" s="177">
        <v>255</v>
      </c>
      <c r="CH19" s="177">
        <v>375</v>
      </c>
      <c r="CI19" s="177">
        <v>609</v>
      </c>
      <c r="CJ19" s="177">
        <v>559</v>
      </c>
      <c r="CK19" s="178">
        <v>384</v>
      </c>
      <c r="CL19" s="180">
        <v>14042</v>
      </c>
    </row>
    <row r="20" spans="1:90">
      <c r="A20" s="93">
        <f>ROWS($A$3:A18)</f>
        <v>16</v>
      </c>
      <c r="B20" s="106" t="s">
        <v>68</v>
      </c>
      <c r="C20" s="242">
        <v>2008</v>
      </c>
      <c r="D20" s="314" t="s">
        <v>3</v>
      </c>
      <c r="E20" s="316">
        <v>40442</v>
      </c>
      <c r="F20" s="210">
        <v>128.739</v>
      </c>
      <c r="G20" s="211">
        <v>84.983999999999995</v>
      </c>
      <c r="H20" s="211">
        <v>58.453000000000003</v>
      </c>
      <c r="I20" s="214">
        <v>52.279000000000003</v>
      </c>
      <c r="J20" s="213"/>
      <c r="K20" s="210">
        <f t="shared" si="0"/>
        <v>8.8510000000000009</v>
      </c>
      <c r="L20" s="211">
        <f t="shared" si="1"/>
        <v>10.15</v>
      </c>
      <c r="M20" s="211">
        <f t="shared" si="2"/>
        <v>3.7559999999999998</v>
      </c>
      <c r="N20" s="211">
        <f t="shared" si="3"/>
        <v>5.9790000000000001</v>
      </c>
      <c r="O20" s="211">
        <f t="shared" si="4"/>
        <v>3.4980000000000002</v>
      </c>
      <c r="P20" s="211">
        <f>'2008'!AZ20+'2008'!BA20</f>
        <v>14.326000000000001</v>
      </c>
      <c r="Q20" s="211">
        <f>'2008'!AU20</f>
        <v>13.651999999999999</v>
      </c>
      <c r="R20" s="211">
        <f>AT20+AX20</f>
        <v>44.835000000000001</v>
      </c>
      <c r="S20" s="211">
        <f t="shared" si="6"/>
        <v>14.834</v>
      </c>
      <c r="T20" s="211">
        <f t="shared" si="7"/>
        <v>3.2250000000000001</v>
      </c>
      <c r="U20" s="212">
        <f t="shared" si="8"/>
        <v>5.6340000000000003</v>
      </c>
      <c r="V20" s="211">
        <f>BG20+BJ20</f>
        <v>8.9420000000000002</v>
      </c>
      <c r="W20" s="211">
        <f t="shared" si="10"/>
        <v>3.4550000000000001</v>
      </c>
      <c r="X20" s="211">
        <f>BH20+BI20</f>
        <v>24.968</v>
      </c>
      <c r="Y20" s="211">
        <f>BK20+BL20+BN20</f>
        <v>33.185000000000002</v>
      </c>
      <c r="Z20" s="211">
        <f t="shared" si="13"/>
        <v>3.3580000000000001</v>
      </c>
      <c r="AA20" s="211">
        <f>BO20+BQ20</f>
        <v>7.9020000000000001</v>
      </c>
      <c r="AB20" s="212">
        <f t="shared" si="15"/>
        <v>3.1739999999999999</v>
      </c>
      <c r="AC20" s="211">
        <f t="shared" si="16"/>
        <v>5.8390000000000004</v>
      </c>
      <c r="AD20" s="211">
        <f t="shared" si="17"/>
        <v>3.25</v>
      </c>
      <c r="AE20" s="211">
        <f>BS20+BT20</f>
        <v>12.355</v>
      </c>
      <c r="AF20" s="211">
        <f t="shared" si="19"/>
        <v>5.468</v>
      </c>
      <c r="AG20" s="211">
        <f t="shared" si="20"/>
        <v>12.154999999999999</v>
      </c>
      <c r="AH20" s="211">
        <f t="shared" si="21"/>
        <v>7.2919999999999998</v>
      </c>
      <c r="AI20" s="211">
        <f t="shared" si="22"/>
        <v>4.0039999999999996</v>
      </c>
      <c r="AJ20" s="211">
        <f t="shared" si="23"/>
        <v>4.2249999999999996</v>
      </c>
      <c r="AK20" s="212">
        <f t="shared" si="24"/>
        <v>3.8639999999999999</v>
      </c>
      <c r="AL20" s="211">
        <f t="shared" si="25"/>
        <v>4.8550000000000004</v>
      </c>
      <c r="AM20" s="211">
        <f t="shared" si="26"/>
        <v>6.1559999999999997</v>
      </c>
      <c r="AN20" s="211">
        <f t="shared" si="27"/>
        <v>7.6909999999999998</v>
      </c>
      <c r="AO20" s="211">
        <f t="shared" si="28"/>
        <v>7.7590000000000003</v>
      </c>
      <c r="AP20" s="211">
        <f t="shared" si="29"/>
        <v>4.8879999999999999</v>
      </c>
      <c r="AQ20" s="211">
        <f t="shared" si="30"/>
        <v>3.4239999999999999</v>
      </c>
      <c r="AR20" s="211">
        <f t="shared" si="31"/>
        <v>6.5739999999999998</v>
      </c>
      <c r="AS20" s="214">
        <f>CF20+CG20</f>
        <v>10.808</v>
      </c>
      <c r="AT20" s="213">
        <v>30.231000000000002</v>
      </c>
      <c r="AU20" s="213">
        <v>13.651999999999999</v>
      </c>
      <c r="AV20" s="213">
        <v>14.834</v>
      </c>
      <c r="AW20" s="213">
        <v>5.9790000000000001</v>
      </c>
      <c r="AX20" s="213">
        <v>14.603999999999999</v>
      </c>
      <c r="AY20" s="211">
        <v>10.15</v>
      </c>
      <c r="AZ20" s="211">
        <v>4.7720000000000002</v>
      </c>
      <c r="BA20" s="211">
        <v>9.5540000000000003</v>
      </c>
      <c r="BB20" s="211">
        <v>3.2250000000000001</v>
      </c>
      <c r="BC20" s="211">
        <v>5.6340000000000003</v>
      </c>
      <c r="BD20" s="211">
        <v>3.7559999999999998</v>
      </c>
      <c r="BE20" s="211">
        <v>3.4980000000000002</v>
      </c>
      <c r="BF20" s="212">
        <v>8.8510000000000009</v>
      </c>
      <c r="BG20" s="211">
        <v>2.1720000000000002</v>
      </c>
      <c r="BH20" s="211">
        <v>13.372999999999999</v>
      </c>
      <c r="BI20" s="211">
        <v>11.595000000000001</v>
      </c>
      <c r="BJ20" s="211">
        <v>6.77</v>
      </c>
      <c r="BK20" s="211">
        <v>5.9269999999999996</v>
      </c>
      <c r="BL20" s="211">
        <v>14.489000000000001</v>
      </c>
      <c r="BM20" s="211">
        <v>3.3580000000000001</v>
      </c>
      <c r="BN20" s="211">
        <v>12.769</v>
      </c>
      <c r="BO20" s="211">
        <v>3.8220000000000001</v>
      </c>
      <c r="BP20" s="211">
        <v>3.1739999999999999</v>
      </c>
      <c r="BQ20" s="211">
        <v>4.08</v>
      </c>
      <c r="BR20" s="212">
        <v>3.4550000000000001</v>
      </c>
      <c r="BS20" s="211">
        <v>7.4050000000000002</v>
      </c>
      <c r="BT20" s="211">
        <v>4.95</v>
      </c>
      <c r="BU20" s="211">
        <v>3.25</v>
      </c>
      <c r="BV20" s="211">
        <v>12.154999999999999</v>
      </c>
      <c r="BW20" s="211">
        <v>4.0039999999999996</v>
      </c>
      <c r="BX20" s="211">
        <v>5.8390000000000004</v>
      </c>
      <c r="BY20" s="211">
        <v>4.2249999999999996</v>
      </c>
      <c r="BZ20" s="211">
        <v>7.2919999999999998</v>
      </c>
      <c r="CA20" s="211">
        <v>5.468</v>
      </c>
      <c r="CB20" s="212">
        <v>3.8639999999999999</v>
      </c>
      <c r="CC20" s="211">
        <v>7.7590000000000003</v>
      </c>
      <c r="CD20" s="211">
        <v>4.8879999999999999</v>
      </c>
      <c r="CE20" s="211">
        <v>4.8550000000000004</v>
      </c>
      <c r="CF20" s="211">
        <v>6.2370000000000001</v>
      </c>
      <c r="CG20" s="211">
        <v>4.5709999999999997</v>
      </c>
      <c r="CH20" s="211">
        <v>6.1559999999999997</v>
      </c>
      <c r="CI20" s="211">
        <v>6.5739999999999998</v>
      </c>
      <c r="CJ20" s="211">
        <v>7.6909999999999998</v>
      </c>
      <c r="CK20" s="214">
        <v>3.4239999999999999</v>
      </c>
      <c r="CL20" s="215">
        <v>324.45600000000002</v>
      </c>
    </row>
    <row r="21" spans="1:90">
      <c r="A21" s="93">
        <f>ROWS($A$3:A19)</f>
        <v>17</v>
      </c>
      <c r="B21" s="60" t="s">
        <v>65</v>
      </c>
      <c r="C21" s="244">
        <v>2008</v>
      </c>
      <c r="D21" s="332" t="s">
        <v>4</v>
      </c>
      <c r="E21" s="333"/>
      <c r="F21" s="207">
        <f>F119/F20%</f>
        <v>0.60121641460629649</v>
      </c>
      <c r="G21" s="208">
        <f>G119/G20%</f>
        <v>0.46008660453732475</v>
      </c>
      <c r="H21" s="208">
        <f>H119/H20%</f>
        <v>0.91184370348827271</v>
      </c>
      <c r="I21" s="209">
        <f>I119/I20%</f>
        <v>0.92006350542282733</v>
      </c>
      <c r="J21" s="213"/>
      <c r="K21" s="207">
        <f t="shared" ref="K21:AP21" si="34">K119/K20%</f>
        <v>0.9151508304146424</v>
      </c>
      <c r="L21" s="208">
        <f t="shared" si="34"/>
        <v>0.76847290640394084</v>
      </c>
      <c r="M21" s="208">
        <f t="shared" si="34"/>
        <v>1.5441959531416403</v>
      </c>
      <c r="N21" s="208">
        <f t="shared" si="34"/>
        <v>0.55193176116407427</v>
      </c>
      <c r="O21" s="208">
        <f t="shared" si="34"/>
        <v>0.85763293310463107</v>
      </c>
      <c r="P21" s="208">
        <f t="shared" si="34"/>
        <v>0.7468937595979338</v>
      </c>
      <c r="Q21" s="208">
        <f t="shared" si="34"/>
        <v>0</v>
      </c>
      <c r="R21" s="208">
        <f t="shared" si="34"/>
        <v>0.31002564960410389</v>
      </c>
      <c r="S21" s="208">
        <f t="shared" si="34"/>
        <v>0.38425239315086962</v>
      </c>
      <c r="T21" s="208">
        <f t="shared" si="34"/>
        <v>1.8294573643410852</v>
      </c>
      <c r="U21" s="216">
        <f t="shared" si="34"/>
        <v>1.6329428470003549</v>
      </c>
      <c r="V21" s="208">
        <f t="shared" si="34"/>
        <v>0.69335719078505931</v>
      </c>
      <c r="W21" s="208">
        <f t="shared" si="34"/>
        <v>0.7525325615050652</v>
      </c>
      <c r="X21" s="208">
        <f t="shared" si="34"/>
        <v>0.31239987183594997</v>
      </c>
      <c r="Y21" s="208">
        <f t="shared" si="34"/>
        <v>0.32846165436191049</v>
      </c>
      <c r="Z21" s="208">
        <f t="shared" si="34"/>
        <v>1.3103037522334722</v>
      </c>
      <c r="AA21" s="208">
        <f t="shared" si="34"/>
        <v>0.49354593773728167</v>
      </c>
      <c r="AB21" s="216">
        <f t="shared" si="34"/>
        <v>1.1027095148078137</v>
      </c>
      <c r="AC21" s="208">
        <f t="shared" si="34"/>
        <v>0.63367014899811602</v>
      </c>
      <c r="AD21" s="208">
        <f t="shared" si="34"/>
        <v>1.4461538461538461</v>
      </c>
      <c r="AE21" s="208">
        <f t="shared" si="34"/>
        <v>0.90651558073654392</v>
      </c>
      <c r="AF21" s="208">
        <f t="shared" si="34"/>
        <v>0.80468178493050468</v>
      </c>
      <c r="AG21" s="208">
        <f t="shared" si="34"/>
        <v>1.0777457836281368</v>
      </c>
      <c r="AH21" s="208">
        <f t="shared" si="34"/>
        <v>1.0696653867251782</v>
      </c>
      <c r="AI21" s="208">
        <f t="shared" si="34"/>
        <v>0.74925074925074941</v>
      </c>
      <c r="AJ21" s="208">
        <f t="shared" si="34"/>
        <v>0.52071005917159763</v>
      </c>
      <c r="AK21" s="216">
        <f t="shared" si="34"/>
        <v>0.85403726708074534</v>
      </c>
      <c r="AL21" s="208">
        <f t="shared" si="34"/>
        <v>0.7209062821833162</v>
      </c>
      <c r="AM21" s="208">
        <f t="shared" si="34"/>
        <v>1.2508122157244965</v>
      </c>
      <c r="AN21" s="208">
        <f t="shared" si="34"/>
        <v>1.2872188272006242</v>
      </c>
      <c r="AO21" s="208">
        <f t="shared" si="34"/>
        <v>0.64441293981183145</v>
      </c>
      <c r="AP21" s="208">
        <f t="shared" si="34"/>
        <v>0.47054009819967269</v>
      </c>
      <c r="AQ21" s="208">
        <f t="shared" ref="AQ21:BV21" si="35">AQ119/AQ20%</f>
        <v>1.5478971962616823</v>
      </c>
      <c r="AR21" s="208">
        <f t="shared" si="35"/>
        <v>1.1560693641618498</v>
      </c>
      <c r="AS21" s="209">
        <f t="shared" si="35"/>
        <v>0.65692079940784598</v>
      </c>
      <c r="AT21" s="208">
        <f t="shared" si="35"/>
        <v>0.16870100228242529</v>
      </c>
      <c r="AU21" s="208">
        <f t="shared" si="35"/>
        <v>0.2929973630237328</v>
      </c>
      <c r="AV21" s="208">
        <f t="shared" si="35"/>
        <v>0.38425239315086962</v>
      </c>
      <c r="AW21" s="208">
        <f t="shared" si="35"/>
        <v>0.55193176116407427</v>
      </c>
      <c r="AX21" s="208">
        <f t="shared" si="35"/>
        <v>0.60257463708572989</v>
      </c>
      <c r="AY21" s="208">
        <f t="shared" si="35"/>
        <v>0.76847290640394084</v>
      </c>
      <c r="AZ21" s="208">
        <f t="shared" si="35"/>
        <v>0.37720033528918684</v>
      </c>
      <c r="BA21" s="208">
        <f t="shared" si="35"/>
        <v>0.93154699602260826</v>
      </c>
      <c r="BB21" s="208">
        <f t="shared" si="35"/>
        <v>1.8294573643410852</v>
      </c>
      <c r="BC21" s="208">
        <f t="shared" si="35"/>
        <v>1.6329428470003549</v>
      </c>
      <c r="BD21" s="208">
        <f t="shared" si="35"/>
        <v>1.5441959531416403</v>
      </c>
      <c r="BE21" s="208">
        <f t="shared" si="35"/>
        <v>0.85763293310463107</v>
      </c>
      <c r="BF21" s="216">
        <f t="shared" si="35"/>
        <v>0.9151508304146424</v>
      </c>
      <c r="BG21" s="208">
        <f t="shared" si="35"/>
        <v>0.82872928176795557</v>
      </c>
      <c r="BH21" s="208">
        <f t="shared" si="35"/>
        <v>0.11216630524190534</v>
      </c>
      <c r="BI21" s="208">
        <f t="shared" si="35"/>
        <v>0.54333764553686925</v>
      </c>
      <c r="BJ21" s="208">
        <f t="shared" si="35"/>
        <v>0.64992614475627775</v>
      </c>
      <c r="BK21" s="208">
        <f t="shared" si="35"/>
        <v>0.25307912940779487</v>
      </c>
      <c r="BL21" s="208">
        <f t="shared" si="35"/>
        <v>0.13113396369659741</v>
      </c>
      <c r="BM21" s="208">
        <f t="shared" si="35"/>
        <v>1.3103037522334722</v>
      </c>
      <c r="BN21" s="208">
        <f t="shared" si="35"/>
        <v>0.58736001253034698</v>
      </c>
      <c r="BO21" s="208">
        <f t="shared" si="35"/>
        <v>0.34013605442176864</v>
      </c>
      <c r="BP21" s="208">
        <f t="shared" si="35"/>
        <v>1.1027095148078137</v>
      </c>
      <c r="BQ21" s="208">
        <f t="shared" si="35"/>
        <v>0.63725490196078427</v>
      </c>
      <c r="BR21" s="216">
        <f t="shared" si="35"/>
        <v>0.7525325615050652</v>
      </c>
      <c r="BS21" s="208">
        <f t="shared" si="35"/>
        <v>0.21607022282241728</v>
      </c>
      <c r="BT21" s="208">
        <f t="shared" si="35"/>
        <v>1.9393939393939394</v>
      </c>
      <c r="BU21" s="208">
        <f t="shared" si="35"/>
        <v>1.4461538461538461</v>
      </c>
      <c r="BV21" s="208">
        <f t="shared" si="35"/>
        <v>1.0777457836281368</v>
      </c>
      <c r="BW21" s="208">
        <f t="shared" ref="BW21:CL21" si="36">BW119/BW20%</f>
        <v>0.74925074925074941</v>
      </c>
      <c r="BX21" s="208">
        <f t="shared" si="36"/>
        <v>0.63367014899811602</v>
      </c>
      <c r="BY21" s="208">
        <f t="shared" si="36"/>
        <v>0.52071005917159763</v>
      </c>
      <c r="BZ21" s="208">
        <f t="shared" si="36"/>
        <v>1.0696653867251782</v>
      </c>
      <c r="CA21" s="208">
        <f t="shared" si="36"/>
        <v>0.80468178493050468</v>
      </c>
      <c r="CB21" s="216">
        <f t="shared" si="36"/>
        <v>0.85403726708074534</v>
      </c>
      <c r="CC21" s="208">
        <f t="shared" si="36"/>
        <v>0.64441293981183145</v>
      </c>
      <c r="CD21" s="208">
        <f t="shared" si="36"/>
        <v>0.47054009819967269</v>
      </c>
      <c r="CE21" s="208">
        <f t="shared" si="36"/>
        <v>0.7209062821833162</v>
      </c>
      <c r="CF21" s="208">
        <f t="shared" si="36"/>
        <v>0.17636684303350969</v>
      </c>
      <c r="CG21" s="208">
        <f t="shared" si="36"/>
        <v>1.312623058411726</v>
      </c>
      <c r="CH21" s="208">
        <f t="shared" si="36"/>
        <v>1.2508122157244965</v>
      </c>
      <c r="CI21" s="208">
        <f t="shared" si="36"/>
        <v>1.1560693641618498</v>
      </c>
      <c r="CJ21" s="208">
        <f t="shared" si="36"/>
        <v>1.2872188272006242</v>
      </c>
      <c r="CK21" s="209">
        <f t="shared" si="36"/>
        <v>1.5478971962616823</v>
      </c>
      <c r="CL21" s="217">
        <f t="shared" si="36"/>
        <v>0.67189387775229925</v>
      </c>
    </row>
    <row r="22" spans="1:90">
      <c r="A22" s="93">
        <f>ROWS($A$3:A20)</f>
        <v>18</v>
      </c>
      <c r="B22" s="67" t="s">
        <v>70</v>
      </c>
      <c r="C22" s="241"/>
      <c r="D22" s="332"/>
      <c r="E22" s="333"/>
      <c r="F22" s="156"/>
      <c r="G22" s="177"/>
      <c r="H22" s="177"/>
      <c r="I22" s="178"/>
      <c r="J22" s="181"/>
      <c r="K22" s="156"/>
      <c r="L22" s="177"/>
      <c r="M22" s="177"/>
      <c r="N22" s="177"/>
      <c r="O22" s="177"/>
      <c r="P22" s="177"/>
      <c r="Q22" s="177">
        <f>'2008'!AU22</f>
        <v>0</v>
      </c>
      <c r="R22" s="177"/>
      <c r="S22" s="177"/>
      <c r="T22" s="177"/>
      <c r="U22" s="179"/>
      <c r="V22" s="177"/>
      <c r="W22" s="177"/>
      <c r="X22" s="177"/>
      <c r="Y22" s="177"/>
      <c r="Z22" s="177"/>
      <c r="AA22" s="177"/>
      <c r="AB22" s="179"/>
      <c r="AC22" s="177"/>
      <c r="AD22" s="177"/>
      <c r="AE22" s="177"/>
      <c r="AF22" s="177"/>
      <c r="AG22" s="177"/>
      <c r="AH22" s="177"/>
      <c r="AI22" s="177"/>
      <c r="AJ22" s="177"/>
      <c r="AK22" s="179"/>
      <c r="AL22" s="177"/>
      <c r="AM22" s="177"/>
      <c r="AN22" s="177"/>
      <c r="AO22" s="177"/>
      <c r="AP22" s="177"/>
      <c r="AQ22" s="177"/>
      <c r="AR22" s="177"/>
      <c r="AS22" s="178"/>
      <c r="AT22" s="177"/>
      <c r="AU22" s="177"/>
      <c r="AV22" s="177"/>
      <c r="AW22" s="177"/>
      <c r="AX22" s="177"/>
      <c r="AY22" s="177"/>
      <c r="AZ22" s="177"/>
      <c r="BA22" s="177"/>
      <c r="BB22" s="177"/>
      <c r="BC22" s="177"/>
      <c r="BD22" s="177"/>
      <c r="BE22" s="177"/>
      <c r="BF22" s="179"/>
      <c r="BG22" s="177"/>
      <c r="BH22" s="177"/>
      <c r="BI22" s="177"/>
      <c r="BJ22" s="177"/>
      <c r="BK22" s="177"/>
      <c r="BL22" s="177"/>
      <c r="BM22" s="177"/>
      <c r="BN22" s="177"/>
      <c r="BO22" s="177"/>
      <c r="BP22" s="177"/>
      <c r="BQ22" s="177"/>
      <c r="BR22" s="179"/>
      <c r="BS22" s="177"/>
      <c r="BT22" s="177"/>
      <c r="BU22" s="177"/>
      <c r="BV22" s="177"/>
      <c r="BW22" s="177"/>
      <c r="BX22" s="177"/>
      <c r="BY22" s="177"/>
      <c r="BZ22" s="177"/>
      <c r="CA22" s="177"/>
      <c r="CB22" s="179"/>
      <c r="CC22" s="177"/>
      <c r="CD22" s="177"/>
      <c r="CE22" s="177"/>
      <c r="CF22" s="177"/>
      <c r="CG22" s="177"/>
      <c r="CH22" s="177"/>
      <c r="CI22" s="177"/>
      <c r="CJ22" s="177"/>
      <c r="CK22" s="178"/>
      <c r="CL22" s="180"/>
    </row>
    <row r="23" spans="1:90">
      <c r="A23" s="93">
        <f>ROWS($A$3:A21)</f>
        <v>19</v>
      </c>
      <c r="B23" s="59" t="s">
        <v>272</v>
      </c>
      <c r="C23" s="244">
        <v>2007</v>
      </c>
      <c r="D23" s="332" t="s">
        <v>14</v>
      </c>
      <c r="E23" s="333"/>
      <c r="F23" s="156">
        <v>18213</v>
      </c>
      <c r="G23" s="177">
        <v>6647</v>
      </c>
      <c r="H23" s="177">
        <v>18128</v>
      </c>
      <c r="I23" s="178">
        <v>14061</v>
      </c>
      <c r="J23" s="181"/>
      <c r="K23" s="156">
        <f t="shared" ref="K23:K33" si="37">BF23</f>
        <v>2292</v>
      </c>
      <c r="L23" s="177">
        <f t="shared" ref="L23:L33" si="38">AY23</f>
        <v>1708</v>
      </c>
      <c r="M23" s="177">
        <f t="shared" ref="M23:M33" si="39">BD23</f>
        <v>1904</v>
      </c>
      <c r="N23" s="177">
        <f t="shared" ref="N23:N33" si="40">AW23</f>
        <v>933</v>
      </c>
      <c r="O23" s="177">
        <f t="shared" ref="O23:O33" si="41">BE23</f>
        <v>663</v>
      </c>
      <c r="P23" s="177">
        <f>'2008'!AZ23+'2008'!BA23</f>
        <v>2947</v>
      </c>
      <c r="Q23" s="177">
        <f>'2008'!AU23</f>
        <v>783</v>
      </c>
      <c r="R23" s="177">
        <f t="shared" ref="R23:R29" si="42">AT23+AX23</f>
        <v>2063</v>
      </c>
      <c r="S23" s="177">
        <f t="shared" ref="S23:S33" si="43">AV23</f>
        <v>851</v>
      </c>
      <c r="T23" s="177">
        <f t="shared" ref="T23:T33" si="44">BB23</f>
        <v>1584</v>
      </c>
      <c r="U23" s="179">
        <f t="shared" ref="U23:U33" si="45">BC23</f>
        <v>2485</v>
      </c>
      <c r="V23" s="177">
        <f t="shared" ref="V23:V29" si="46">BG23+BJ23</f>
        <v>1004</v>
      </c>
      <c r="W23" s="177">
        <f t="shared" ref="W23:W33" si="47">BR23</f>
        <v>746</v>
      </c>
      <c r="X23" s="177">
        <f t="shared" ref="X23:X29" si="48">BH23+BI23</f>
        <v>1093</v>
      </c>
      <c r="Y23" s="177">
        <f t="shared" ref="Y23:Y29" si="49">BK23+BL23+BN23</f>
        <v>1372</v>
      </c>
      <c r="Z23" s="177">
        <f t="shared" ref="Z23:Z33" si="50">BM23</f>
        <v>1151</v>
      </c>
      <c r="AA23" s="177">
        <f t="shared" ref="AA23:AA29" si="51">BO23+BQ23</f>
        <v>593</v>
      </c>
      <c r="AB23" s="179">
        <f t="shared" ref="AB23:AB33" si="52">BP23</f>
        <v>688</v>
      </c>
      <c r="AC23" s="177">
        <f t="shared" ref="AC23:AC33" si="53">BX23</f>
        <v>1325</v>
      </c>
      <c r="AD23" s="177">
        <f t="shared" ref="AD23:AD33" si="54">BU23</f>
        <v>1995</v>
      </c>
      <c r="AE23" s="177">
        <f t="shared" ref="AE23:AE29" si="55">BS23+BT23</f>
        <v>4082</v>
      </c>
      <c r="AF23" s="177">
        <f t="shared" ref="AF23:AF33" si="56">CA23</f>
        <v>1371</v>
      </c>
      <c r="AG23" s="177">
        <f t="shared" ref="AG23:AG33" si="57">BV23</f>
        <v>4968</v>
      </c>
      <c r="AH23" s="177">
        <f t="shared" ref="AH23:AH33" si="58">BZ23</f>
        <v>1123</v>
      </c>
      <c r="AI23" s="177">
        <f t="shared" ref="AI23:AI33" si="59">BW23</f>
        <v>1066</v>
      </c>
      <c r="AJ23" s="177">
        <f t="shared" ref="AJ23:AJ33" si="60">BY23</f>
        <v>567</v>
      </c>
      <c r="AK23" s="179">
        <f t="shared" ref="AK23:AK33" si="61">CB23</f>
        <v>1631</v>
      </c>
      <c r="AL23" s="177">
        <f t="shared" ref="AL23:AL33" si="62">CE23</f>
        <v>924</v>
      </c>
      <c r="AM23" s="177">
        <f t="shared" ref="AM23:AM33" si="63">CH23</f>
        <v>2207</v>
      </c>
      <c r="AN23" s="177">
        <f t="shared" ref="AN23:AN33" si="64">CJ23</f>
        <v>3110</v>
      </c>
      <c r="AO23" s="177">
        <f t="shared" ref="AO23:AO33" si="65">CC23</f>
        <v>1336</v>
      </c>
      <c r="AP23" s="177">
        <f t="shared" ref="AP23:AP33" si="66">CD23</f>
        <v>546</v>
      </c>
      <c r="AQ23" s="177">
        <f t="shared" ref="AQ23:AQ33" si="67">CK23</f>
        <v>1583</v>
      </c>
      <c r="AR23" s="177">
        <f t="shared" ref="AR23:AR33" si="68">CI23</f>
        <v>1996</v>
      </c>
      <c r="AS23" s="178">
        <f t="shared" ref="AS23:AS28" si="69">CF23+CG23</f>
        <v>2359</v>
      </c>
      <c r="AT23" s="177">
        <v>257</v>
      </c>
      <c r="AU23" s="177">
        <v>783</v>
      </c>
      <c r="AV23" s="177">
        <v>851</v>
      </c>
      <c r="AW23" s="181">
        <v>933</v>
      </c>
      <c r="AX23" s="177">
        <v>1806</v>
      </c>
      <c r="AY23" s="177">
        <v>1708</v>
      </c>
      <c r="AZ23" s="177">
        <v>216</v>
      </c>
      <c r="BA23" s="177">
        <v>2731</v>
      </c>
      <c r="BB23" s="177">
        <v>1584</v>
      </c>
      <c r="BC23" s="177">
        <v>2485</v>
      </c>
      <c r="BD23" s="177">
        <v>1904</v>
      </c>
      <c r="BE23" s="177">
        <v>663</v>
      </c>
      <c r="BF23" s="179">
        <v>2292</v>
      </c>
      <c r="BG23" s="177">
        <v>181</v>
      </c>
      <c r="BH23" s="177">
        <v>88</v>
      </c>
      <c r="BI23" s="177">
        <v>1005</v>
      </c>
      <c r="BJ23" s="177">
        <v>823</v>
      </c>
      <c r="BK23" s="177">
        <v>104</v>
      </c>
      <c r="BL23" s="177">
        <v>80</v>
      </c>
      <c r="BM23" s="177">
        <v>1151</v>
      </c>
      <c r="BN23" s="177">
        <v>1188</v>
      </c>
      <c r="BO23" s="177">
        <v>37</v>
      </c>
      <c r="BP23" s="177">
        <v>688</v>
      </c>
      <c r="BQ23" s="177">
        <v>556</v>
      </c>
      <c r="BR23" s="179">
        <v>746</v>
      </c>
      <c r="BS23" s="177">
        <v>271</v>
      </c>
      <c r="BT23" s="177">
        <v>3811</v>
      </c>
      <c r="BU23" s="177">
        <v>1995</v>
      </c>
      <c r="BV23" s="177">
        <v>4968</v>
      </c>
      <c r="BW23" s="177">
        <v>1066</v>
      </c>
      <c r="BX23" s="177">
        <v>1325</v>
      </c>
      <c r="BY23" s="177">
        <v>567</v>
      </c>
      <c r="BZ23" s="177">
        <v>1123</v>
      </c>
      <c r="CA23" s="177">
        <v>1371</v>
      </c>
      <c r="CB23" s="179">
        <v>1631</v>
      </c>
      <c r="CC23" s="177">
        <v>1336</v>
      </c>
      <c r="CD23" s="177">
        <v>546</v>
      </c>
      <c r="CE23" s="177">
        <v>924</v>
      </c>
      <c r="CF23" s="177">
        <v>146</v>
      </c>
      <c r="CG23" s="177">
        <v>2213</v>
      </c>
      <c r="CH23" s="177">
        <v>2207</v>
      </c>
      <c r="CI23" s="177">
        <v>1996</v>
      </c>
      <c r="CJ23" s="177">
        <v>3110</v>
      </c>
      <c r="CK23" s="178">
        <v>1583</v>
      </c>
      <c r="CL23" s="180">
        <v>57049</v>
      </c>
    </row>
    <row r="24" spans="1:90">
      <c r="A24" s="93">
        <f>ROWS($A$3:A22)</f>
        <v>20</v>
      </c>
      <c r="B24" s="59" t="s">
        <v>268</v>
      </c>
      <c r="C24" s="241"/>
      <c r="D24" s="332" t="s">
        <v>14</v>
      </c>
      <c r="E24" s="333"/>
      <c r="F24" s="156">
        <f>3245+2664</f>
        <v>5909</v>
      </c>
      <c r="G24" s="177">
        <f>1077+1228</f>
        <v>2305</v>
      </c>
      <c r="H24" s="177">
        <f>3971+3685</f>
        <v>7656</v>
      </c>
      <c r="I24" s="178">
        <f>658+2103</f>
        <v>2761</v>
      </c>
      <c r="J24" s="181"/>
      <c r="K24" s="156">
        <f t="shared" si="37"/>
        <v>415</v>
      </c>
      <c r="L24" s="177">
        <f t="shared" si="38"/>
        <v>820</v>
      </c>
      <c r="M24" s="177">
        <f t="shared" si="39"/>
        <v>421</v>
      </c>
      <c r="N24" s="177">
        <f t="shared" si="40"/>
        <v>206</v>
      </c>
      <c r="O24" s="177">
        <f t="shared" si="41"/>
        <v>77</v>
      </c>
      <c r="P24" s="177">
        <f>'2008'!AZ24+'2008'!BA24</f>
        <v>1453</v>
      </c>
      <c r="Q24" s="177">
        <f>'2008'!AU24</f>
        <v>199</v>
      </c>
      <c r="R24" s="177">
        <f t="shared" si="42"/>
        <v>1090</v>
      </c>
      <c r="S24" s="177">
        <f t="shared" si="43"/>
        <v>300</v>
      </c>
      <c r="T24" s="177">
        <f t="shared" si="44"/>
        <v>528</v>
      </c>
      <c r="U24" s="179">
        <f t="shared" si="45"/>
        <v>400</v>
      </c>
      <c r="V24" s="177">
        <f t="shared" si="46"/>
        <v>631</v>
      </c>
      <c r="W24" s="177">
        <f t="shared" si="47"/>
        <v>221</v>
      </c>
      <c r="X24" s="177">
        <f t="shared" si="48"/>
        <v>394</v>
      </c>
      <c r="Y24" s="177">
        <f t="shared" si="49"/>
        <v>423</v>
      </c>
      <c r="Z24" s="177">
        <f t="shared" si="50"/>
        <v>224</v>
      </c>
      <c r="AA24" s="177">
        <f t="shared" si="51"/>
        <v>191</v>
      </c>
      <c r="AB24" s="179">
        <f t="shared" si="52"/>
        <v>221</v>
      </c>
      <c r="AC24" s="177">
        <f t="shared" si="53"/>
        <v>268</v>
      </c>
      <c r="AD24" s="177">
        <f t="shared" si="54"/>
        <v>1067</v>
      </c>
      <c r="AE24" s="177">
        <f t="shared" si="55"/>
        <v>2187</v>
      </c>
      <c r="AF24" s="177">
        <f t="shared" si="56"/>
        <v>468</v>
      </c>
      <c r="AG24" s="177">
        <f t="shared" si="57"/>
        <v>2596</v>
      </c>
      <c r="AH24" s="177">
        <f t="shared" si="58"/>
        <v>361</v>
      </c>
      <c r="AI24" s="177">
        <f t="shared" si="59"/>
        <v>252</v>
      </c>
      <c r="AJ24" s="177">
        <f t="shared" si="60"/>
        <v>87</v>
      </c>
      <c r="AK24" s="179">
        <f t="shared" si="61"/>
        <v>370</v>
      </c>
      <c r="AL24" s="177">
        <f t="shared" si="62"/>
        <v>166</v>
      </c>
      <c r="AM24" s="177">
        <f t="shared" si="63"/>
        <v>318</v>
      </c>
      <c r="AN24" s="177">
        <f t="shared" si="64"/>
        <v>541</v>
      </c>
      <c r="AO24" s="177">
        <f t="shared" si="65"/>
        <v>284</v>
      </c>
      <c r="AP24" s="177">
        <f t="shared" si="66"/>
        <v>144</v>
      </c>
      <c r="AQ24" s="177">
        <f t="shared" si="67"/>
        <v>277</v>
      </c>
      <c r="AR24" s="177">
        <f t="shared" si="68"/>
        <v>723</v>
      </c>
      <c r="AS24" s="178">
        <f t="shared" si="69"/>
        <v>308</v>
      </c>
      <c r="AT24" s="177">
        <f>116+46</f>
        <v>162</v>
      </c>
      <c r="AU24" s="177">
        <f>73+126</f>
        <v>199</v>
      </c>
      <c r="AV24" s="177">
        <f>123+177</f>
        <v>300</v>
      </c>
      <c r="AW24" s="181">
        <f>67+139</f>
        <v>206</v>
      </c>
      <c r="AX24" s="177">
        <f>730+198</f>
        <v>928</v>
      </c>
      <c r="AY24" s="177">
        <f>437+383</f>
        <v>820</v>
      </c>
      <c r="AZ24" s="177">
        <f>41+40</f>
        <v>81</v>
      </c>
      <c r="BA24" s="177">
        <f>1038+334</f>
        <v>1372</v>
      </c>
      <c r="BB24" s="177">
        <f>263+265</f>
        <v>528</v>
      </c>
      <c r="BC24" s="177">
        <f>40+360</f>
        <v>400</v>
      </c>
      <c r="BD24" s="177">
        <f>237+184</f>
        <v>421</v>
      </c>
      <c r="BE24" s="177">
        <f>19+58</f>
        <v>77</v>
      </c>
      <c r="BF24" s="179">
        <f>61+354</f>
        <v>415</v>
      </c>
      <c r="BG24" s="177">
        <f>110+32</f>
        <v>142</v>
      </c>
      <c r="BH24" s="177">
        <v>33</v>
      </c>
      <c r="BI24" s="177">
        <f>205+156</f>
        <v>361</v>
      </c>
      <c r="BJ24" s="177">
        <f>343+146</f>
        <v>489</v>
      </c>
      <c r="BK24" s="177">
        <v>41</v>
      </c>
      <c r="BL24" s="177">
        <v>24</v>
      </c>
      <c r="BM24" s="177">
        <f>36+188</f>
        <v>224</v>
      </c>
      <c r="BN24" s="177">
        <f>183+175</f>
        <v>358</v>
      </c>
      <c r="BO24" s="177">
        <v>20</v>
      </c>
      <c r="BP24" s="177">
        <f>23+198</f>
        <v>221</v>
      </c>
      <c r="BQ24" s="177">
        <f>79+92</f>
        <v>171</v>
      </c>
      <c r="BR24" s="179">
        <f>19+202</f>
        <v>221</v>
      </c>
      <c r="BS24" s="177">
        <f>133+38</f>
        <v>171</v>
      </c>
      <c r="BT24" s="177">
        <f>1405+611</f>
        <v>2016</v>
      </c>
      <c r="BU24" s="177">
        <f>713+354</f>
        <v>1067</v>
      </c>
      <c r="BV24" s="177">
        <f>1247+1349</f>
        <v>2596</v>
      </c>
      <c r="BW24" s="177">
        <f>17+235</f>
        <v>252</v>
      </c>
      <c r="BX24" s="177">
        <f>20+248</f>
        <v>268</v>
      </c>
      <c r="BY24" s="177">
        <f>6+81</f>
        <v>87</v>
      </c>
      <c r="BZ24" s="177">
        <f>181+180</f>
        <v>361</v>
      </c>
      <c r="CA24" s="177">
        <f>200+268</f>
        <v>468</v>
      </c>
      <c r="CB24" s="179">
        <f>49+321</f>
        <v>370</v>
      </c>
      <c r="CC24" s="177">
        <f>55+229</f>
        <v>284</v>
      </c>
      <c r="CD24" s="177">
        <f>39+105</f>
        <v>144</v>
      </c>
      <c r="CE24" s="177">
        <f>17+149</f>
        <v>166</v>
      </c>
      <c r="CF24" s="177">
        <v>35</v>
      </c>
      <c r="CG24" s="177">
        <f>50+223</f>
        <v>273</v>
      </c>
      <c r="CH24" s="177">
        <f>49+269</f>
        <v>318</v>
      </c>
      <c r="CI24" s="177">
        <f>318+405</f>
        <v>723</v>
      </c>
      <c r="CJ24" s="177">
        <f>85+456</f>
        <v>541</v>
      </c>
      <c r="CK24" s="178">
        <f>31+246</f>
        <v>277</v>
      </c>
      <c r="CL24" s="180">
        <f>8951+9680</f>
        <v>18631</v>
      </c>
    </row>
    <row r="25" spans="1:90">
      <c r="A25" s="93">
        <f>ROWS($A$3:A23)</f>
        <v>21</v>
      </c>
      <c r="B25" s="59" t="s">
        <v>269</v>
      </c>
      <c r="C25" s="241"/>
      <c r="D25" s="332" t="s">
        <v>14</v>
      </c>
      <c r="E25" s="333"/>
      <c r="F25" s="156">
        <v>2380</v>
      </c>
      <c r="G25" s="177">
        <v>924</v>
      </c>
      <c r="H25" s="177">
        <v>3174</v>
      </c>
      <c r="I25" s="178">
        <v>1978</v>
      </c>
      <c r="J25" s="181"/>
      <c r="K25" s="156">
        <f t="shared" si="37"/>
        <v>377</v>
      </c>
      <c r="L25" s="177">
        <f t="shared" si="38"/>
        <v>262</v>
      </c>
      <c r="M25" s="177">
        <f t="shared" si="39"/>
        <v>219</v>
      </c>
      <c r="N25" s="177">
        <f t="shared" si="40"/>
        <v>126</v>
      </c>
      <c r="O25" s="177">
        <f t="shared" si="41"/>
        <v>79</v>
      </c>
      <c r="P25" s="177">
        <f>'2008'!AZ25+'2008'!BA25</f>
        <v>352</v>
      </c>
      <c r="Q25" s="177">
        <f>'2008'!AU25</f>
        <v>113</v>
      </c>
      <c r="R25" s="177">
        <f t="shared" si="42"/>
        <v>179</v>
      </c>
      <c r="S25" s="177">
        <f t="shared" si="43"/>
        <v>135</v>
      </c>
      <c r="T25" s="177">
        <f t="shared" si="44"/>
        <v>213</v>
      </c>
      <c r="U25" s="179">
        <f t="shared" si="45"/>
        <v>325</v>
      </c>
      <c r="V25" s="177">
        <f t="shared" si="46"/>
        <v>117</v>
      </c>
      <c r="W25" s="177">
        <f t="shared" si="47"/>
        <v>154</v>
      </c>
      <c r="X25" s="177">
        <f t="shared" si="48"/>
        <v>139</v>
      </c>
      <c r="Y25" s="177">
        <f t="shared" si="49"/>
        <v>144</v>
      </c>
      <c r="Z25" s="177">
        <f t="shared" si="50"/>
        <v>157</v>
      </c>
      <c r="AA25" s="177">
        <f t="shared" si="51"/>
        <v>72</v>
      </c>
      <c r="AB25" s="179">
        <f t="shared" si="52"/>
        <v>141</v>
      </c>
      <c r="AC25" s="177">
        <f t="shared" si="53"/>
        <v>222</v>
      </c>
      <c r="AD25" s="177">
        <f t="shared" si="54"/>
        <v>305</v>
      </c>
      <c r="AE25" s="177">
        <f t="shared" si="55"/>
        <v>551</v>
      </c>
      <c r="AF25" s="177">
        <f t="shared" si="56"/>
        <v>250</v>
      </c>
      <c r="AG25" s="177">
        <f t="shared" si="57"/>
        <v>1001</v>
      </c>
      <c r="AH25" s="177">
        <f t="shared" si="58"/>
        <v>139</v>
      </c>
      <c r="AI25" s="177">
        <f t="shared" si="59"/>
        <v>229</v>
      </c>
      <c r="AJ25" s="177">
        <f t="shared" si="60"/>
        <v>106</v>
      </c>
      <c r="AK25" s="179">
        <f t="shared" si="61"/>
        <v>371</v>
      </c>
      <c r="AL25" s="177">
        <f t="shared" si="62"/>
        <v>173</v>
      </c>
      <c r="AM25" s="177">
        <f t="shared" si="63"/>
        <v>261</v>
      </c>
      <c r="AN25" s="177">
        <f t="shared" si="64"/>
        <v>339</v>
      </c>
      <c r="AO25" s="177">
        <f t="shared" si="65"/>
        <v>223</v>
      </c>
      <c r="AP25" s="177">
        <f t="shared" si="66"/>
        <v>98</v>
      </c>
      <c r="AQ25" s="177">
        <f t="shared" si="67"/>
        <v>254</v>
      </c>
      <c r="AR25" s="177">
        <f t="shared" si="68"/>
        <v>345</v>
      </c>
      <c r="AS25" s="178">
        <f t="shared" si="69"/>
        <v>285</v>
      </c>
      <c r="AT25" s="177">
        <v>37</v>
      </c>
      <c r="AU25" s="177">
        <v>113</v>
      </c>
      <c r="AV25" s="177">
        <v>135</v>
      </c>
      <c r="AW25" s="181">
        <v>126</v>
      </c>
      <c r="AX25" s="177">
        <v>142</v>
      </c>
      <c r="AY25" s="177">
        <v>262</v>
      </c>
      <c r="AZ25" s="177">
        <v>42</v>
      </c>
      <c r="BA25" s="177">
        <v>310</v>
      </c>
      <c r="BB25" s="177">
        <v>213</v>
      </c>
      <c r="BC25" s="177">
        <v>325</v>
      </c>
      <c r="BD25" s="177">
        <v>219</v>
      </c>
      <c r="BE25" s="177">
        <v>79</v>
      </c>
      <c r="BF25" s="179">
        <v>377</v>
      </c>
      <c r="BG25" s="177">
        <v>16</v>
      </c>
      <c r="BH25" s="177">
        <v>13</v>
      </c>
      <c r="BI25" s="177">
        <v>126</v>
      </c>
      <c r="BJ25" s="177">
        <v>101</v>
      </c>
      <c r="BK25" s="177">
        <v>12</v>
      </c>
      <c r="BL25" s="177">
        <v>6</v>
      </c>
      <c r="BM25" s="177">
        <v>157</v>
      </c>
      <c r="BN25" s="177">
        <v>126</v>
      </c>
      <c r="BO25" s="177">
        <v>3</v>
      </c>
      <c r="BP25" s="177">
        <v>141</v>
      </c>
      <c r="BQ25" s="177">
        <v>69</v>
      </c>
      <c r="BR25" s="179">
        <v>154</v>
      </c>
      <c r="BS25" s="177">
        <v>28</v>
      </c>
      <c r="BT25" s="177">
        <v>523</v>
      </c>
      <c r="BU25" s="177">
        <v>305</v>
      </c>
      <c r="BV25" s="177">
        <v>1001</v>
      </c>
      <c r="BW25" s="177">
        <v>229</v>
      </c>
      <c r="BX25" s="177">
        <v>222</v>
      </c>
      <c r="BY25" s="177">
        <v>106</v>
      </c>
      <c r="BZ25" s="177">
        <v>139</v>
      </c>
      <c r="CA25" s="177">
        <v>250</v>
      </c>
      <c r="CB25" s="179">
        <f>371</f>
        <v>371</v>
      </c>
      <c r="CC25" s="177">
        <v>223</v>
      </c>
      <c r="CD25" s="177">
        <v>98</v>
      </c>
      <c r="CE25" s="177">
        <v>173</v>
      </c>
      <c r="CF25" s="177">
        <v>11</v>
      </c>
      <c r="CG25" s="177">
        <v>274</v>
      </c>
      <c r="CH25" s="177">
        <v>261</v>
      </c>
      <c r="CI25" s="177">
        <v>345</v>
      </c>
      <c r="CJ25" s="177">
        <v>339</v>
      </c>
      <c r="CK25" s="178">
        <v>254</v>
      </c>
      <c r="CL25" s="180">
        <v>8456</v>
      </c>
    </row>
    <row r="26" spans="1:90">
      <c r="A26" s="93">
        <f>ROWS($A$3:A24)</f>
        <v>22</v>
      </c>
      <c r="B26" s="59" t="s">
        <v>270</v>
      </c>
      <c r="C26" s="241"/>
      <c r="D26" s="332" t="s">
        <v>14</v>
      </c>
      <c r="E26" s="333"/>
      <c r="F26" s="156">
        <f>1624+1371</f>
        <v>2995</v>
      </c>
      <c r="G26" s="177">
        <f>573+410</f>
        <v>983</v>
      </c>
      <c r="H26" s="177">
        <f>1755+1249</f>
        <v>3004</v>
      </c>
      <c r="I26" s="178">
        <f>1450+1499</f>
        <v>2949</v>
      </c>
      <c r="J26" s="181"/>
      <c r="K26" s="156">
        <f t="shared" si="37"/>
        <v>565</v>
      </c>
      <c r="L26" s="177">
        <f t="shared" si="38"/>
        <v>253</v>
      </c>
      <c r="M26" s="177">
        <f t="shared" si="39"/>
        <v>339</v>
      </c>
      <c r="N26" s="177">
        <f t="shared" si="40"/>
        <v>164</v>
      </c>
      <c r="O26" s="177">
        <f t="shared" si="41"/>
        <v>131</v>
      </c>
      <c r="P26" s="177">
        <f>'2008'!AZ26+'2008'!BA26</f>
        <v>317</v>
      </c>
      <c r="Q26" s="177">
        <f>'2008'!AU26</f>
        <v>157</v>
      </c>
      <c r="R26" s="177">
        <f t="shared" si="42"/>
        <v>202</v>
      </c>
      <c r="S26" s="177">
        <f t="shared" si="43"/>
        <v>126</v>
      </c>
      <c r="T26" s="177">
        <f t="shared" si="44"/>
        <v>249</v>
      </c>
      <c r="U26" s="179">
        <f t="shared" si="45"/>
        <v>492</v>
      </c>
      <c r="V26" s="177">
        <f t="shared" si="46"/>
        <v>103</v>
      </c>
      <c r="W26" s="177">
        <f t="shared" si="47"/>
        <v>120</v>
      </c>
      <c r="X26" s="177">
        <f t="shared" si="48"/>
        <v>127</v>
      </c>
      <c r="Y26" s="177">
        <f t="shared" si="49"/>
        <v>199</v>
      </c>
      <c r="Z26" s="177">
        <f t="shared" si="50"/>
        <v>220</v>
      </c>
      <c r="AA26" s="177">
        <f t="shared" si="51"/>
        <v>90</v>
      </c>
      <c r="AB26" s="179">
        <f t="shared" si="52"/>
        <v>124</v>
      </c>
      <c r="AC26" s="177">
        <f t="shared" si="53"/>
        <v>234</v>
      </c>
      <c r="AD26" s="177">
        <f t="shared" si="54"/>
        <v>324</v>
      </c>
      <c r="AE26" s="177">
        <f t="shared" si="55"/>
        <v>548</v>
      </c>
      <c r="AF26" s="177">
        <f t="shared" si="56"/>
        <v>284</v>
      </c>
      <c r="AG26" s="177">
        <f t="shared" si="57"/>
        <v>730</v>
      </c>
      <c r="AH26" s="177">
        <f t="shared" si="58"/>
        <v>183</v>
      </c>
      <c r="AI26" s="177">
        <f t="shared" si="59"/>
        <v>210</v>
      </c>
      <c r="AJ26" s="177">
        <f t="shared" si="60"/>
        <v>125</v>
      </c>
      <c r="AK26" s="179">
        <f t="shared" si="61"/>
        <v>366</v>
      </c>
      <c r="AL26" s="177">
        <f t="shared" si="62"/>
        <v>203</v>
      </c>
      <c r="AM26" s="177">
        <f t="shared" si="63"/>
        <v>416</v>
      </c>
      <c r="AN26" s="177">
        <f t="shared" si="64"/>
        <v>665</v>
      </c>
      <c r="AO26" s="177">
        <f t="shared" si="65"/>
        <v>290</v>
      </c>
      <c r="AP26" s="177">
        <f t="shared" si="66"/>
        <v>95</v>
      </c>
      <c r="AQ26" s="177">
        <f t="shared" si="67"/>
        <v>343</v>
      </c>
      <c r="AR26" s="177">
        <f t="shared" si="68"/>
        <v>408</v>
      </c>
      <c r="AS26" s="178">
        <f t="shared" si="69"/>
        <v>529</v>
      </c>
      <c r="AT26" s="181">
        <f>14+10</f>
        <v>24</v>
      </c>
      <c r="AU26" s="181">
        <f>84+73</f>
        <v>157</v>
      </c>
      <c r="AV26" s="181">
        <f>70+56</f>
        <v>126</v>
      </c>
      <c r="AW26" s="181">
        <f>98+66</f>
        <v>164</v>
      </c>
      <c r="AX26" s="181">
        <f>94+84</f>
        <v>178</v>
      </c>
      <c r="AY26" s="177">
        <f>151+102</f>
        <v>253</v>
      </c>
      <c r="AZ26" s="177">
        <f>13+11</f>
        <v>24</v>
      </c>
      <c r="BA26" s="177">
        <f>164+129</f>
        <v>293</v>
      </c>
      <c r="BB26" s="177">
        <f>131+118</f>
        <v>249</v>
      </c>
      <c r="BC26" s="177">
        <f>254+238</f>
        <v>492</v>
      </c>
      <c r="BD26" s="177">
        <f>174+165</f>
        <v>339</v>
      </c>
      <c r="BE26" s="177">
        <f>71+60</f>
        <v>131</v>
      </c>
      <c r="BF26" s="179">
        <f>306+259</f>
        <v>565</v>
      </c>
      <c r="BG26" s="177">
        <f>6+2</f>
        <v>8</v>
      </c>
      <c r="BH26" s="177">
        <v>11</v>
      </c>
      <c r="BI26" s="177">
        <f>63+53</f>
        <v>116</v>
      </c>
      <c r="BJ26" s="177">
        <f>61+34</f>
        <v>95</v>
      </c>
      <c r="BK26" s="177">
        <v>20</v>
      </c>
      <c r="BL26" s="177">
        <v>8</v>
      </c>
      <c r="BM26" s="177">
        <f>119+101</f>
        <v>220</v>
      </c>
      <c r="BN26" s="177">
        <f>96+75</f>
        <v>171</v>
      </c>
      <c r="BO26" s="177">
        <v>2</v>
      </c>
      <c r="BP26" s="177">
        <f>75+49</f>
        <v>124</v>
      </c>
      <c r="BQ26" s="177">
        <f>58+30</f>
        <v>88</v>
      </c>
      <c r="BR26" s="179">
        <f>75+45</f>
        <v>120</v>
      </c>
      <c r="BS26" s="177">
        <f>15+12</f>
        <v>27</v>
      </c>
      <c r="BT26" s="177">
        <f>309+212</f>
        <v>521</v>
      </c>
      <c r="BU26" s="177">
        <f>202+122</f>
        <v>324</v>
      </c>
      <c r="BV26" s="177">
        <f>490+240</f>
        <v>730</v>
      </c>
      <c r="BW26" s="177">
        <f>120+90</f>
        <v>210</v>
      </c>
      <c r="BX26" s="177">
        <f>111+123</f>
        <v>234</v>
      </c>
      <c r="BY26" s="177">
        <f>62+63</f>
        <v>125</v>
      </c>
      <c r="BZ26" s="177">
        <f>100+83</f>
        <v>183</v>
      </c>
      <c r="CA26" s="177">
        <f>148+136</f>
        <v>284</v>
      </c>
      <c r="CB26" s="179">
        <f>198+168</f>
        <v>366</v>
      </c>
      <c r="CC26" s="177">
        <f>153+137</f>
        <v>290</v>
      </c>
      <c r="CD26" s="177">
        <f>51+44</f>
        <v>95</v>
      </c>
      <c r="CE26" s="177">
        <f>117+86</f>
        <v>203</v>
      </c>
      <c r="CF26" s="177">
        <v>27</v>
      </c>
      <c r="CG26" s="177">
        <f>251+251</f>
        <v>502</v>
      </c>
      <c r="CH26" s="177">
        <f>194+222</f>
        <v>416</v>
      </c>
      <c r="CI26" s="177">
        <f>226+182</f>
        <v>408</v>
      </c>
      <c r="CJ26" s="177">
        <f>287+378</f>
        <v>665</v>
      </c>
      <c r="CK26" s="178">
        <f>160+183</f>
        <v>343</v>
      </c>
      <c r="CL26" s="180">
        <f>5402+4529</f>
        <v>9931</v>
      </c>
    </row>
    <row r="27" spans="1:90">
      <c r="A27" s="93">
        <f>ROWS($A$3:A25)</f>
        <v>23</v>
      </c>
      <c r="B27" s="59" t="s">
        <v>271</v>
      </c>
      <c r="C27" s="241"/>
      <c r="D27" s="332" t="s">
        <v>14</v>
      </c>
      <c r="E27" s="333"/>
      <c r="F27" s="156">
        <f>848+733+1253+1026</f>
        <v>3860</v>
      </c>
      <c r="G27" s="177">
        <f>254+215+339+284</f>
        <v>1092</v>
      </c>
      <c r="H27" s="177">
        <f>657+556+738+532</f>
        <v>2483</v>
      </c>
      <c r="I27" s="178">
        <f>816+720+1164+952</f>
        <v>3652</v>
      </c>
      <c r="J27" s="181"/>
      <c r="K27" s="156">
        <f>BF27</f>
        <v>506</v>
      </c>
      <c r="L27" s="177">
        <f>AY27</f>
        <v>239</v>
      </c>
      <c r="M27" s="177">
        <f>BD27</f>
        <v>499</v>
      </c>
      <c r="N27" s="177">
        <f>AW27</f>
        <v>235</v>
      </c>
      <c r="O27" s="177">
        <f>BE27</f>
        <v>176</v>
      </c>
      <c r="P27" s="177">
        <f>'2008'!AZ27+'2008'!BA27</f>
        <v>459</v>
      </c>
      <c r="Q27" s="177">
        <f>'2008'!AU27</f>
        <v>158</v>
      </c>
      <c r="R27" s="177">
        <f>AT27+AX27</f>
        <v>385</v>
      </c>
      <c r="S27" s="177">
        <f>AV27</f>
        <v>161</v>
      </c>
      <c r="T27" s="177">
        <f>BB27</f>
        <v>314</v>
      </c>
      <c r="U27" s="179">
        <f>BC27</f>
        <v>728</v>
      </c>
      <c r="V27" s="177">
        <f>BG27+BJ27</f>
        <v>63</v>
      </c>
      <c r="W27" s="177">
        <f>BR27</f>
        <v>139</v>
      </c>
      <c r="X27" s="177">
        <f>BH27+BI27</f>
        <v>157</v>
      </c>
      <c r="Y27" s="177">
        <f>BK27+BL27+BN27</f>
        <v>306</v>
      </c>
      <c r="Z27" s="177">
        <f>BM27</f>
        <v>242</v>
      </c>
      <c r="AA27" s="177">
        <f>BO27+BQ27</f>
        <v>95</v>
      </c>
      <c r="AB27" s="179">
        <f>BP27</f>
        <v>90</v>
      </c>
      <c r="AC27" s="177">
        <f>BX27</f>
        <v>359</v>
      </c>
      <c r="AD27" s="177">
        <f>BU27</f>
        <v>214</v>
      </c>
      <c r="AE27" s="177">
        <f>BS27+BT27</f>
        <v>554</v>
      </c>
      <c r="AF27" s="177">
        <f>CA27</f>
        <v>260</v>
      </c>
      <c r="AG27" s="177">
        <f>BV27</f>
        <v>373</v>
      </c>
      <c r="AH27" s="177">
        <f>BZ27</f>
        <v>191</v>
      </c>
      <c r="AI27" s="177">
        <f>BW27</f>
        <v>162</v>
      </c>
      <c r="AJ27" s="177">
        <f>BY27</f>
        <v>84</v>
      </c>
      <c r="AK27" s="179">
        <f>CB27</f>
        <v>286</v>
      </c>
      <c r="AL27" s="177">
        <f>CE27</f>
        <v>175</v>
      </c>
      <c r="AM27" s="177">
        <f>CH27</f>
        <v>663</v>
      </c>
      <c r="AN27" s="177">
        <f>CJ27</f>
        <v>1062</v>
      </c>
      <c r="AO27" s="177">
        <f>CC27</f>
        <v>273</v>
      </c>
      <c r="AP27" s="177">
        <f>CD27</f>
        <v>102</v>
      </c>
      <c r="AQ27" s="177">
        <f>CK27</f>
        <v>350</v>
      </c>
      <c r="AR27" s="177">
        <f>CI27</f>
        <v>371</v>
      </c>
      <c r="AS27" s="178">
        <f>CF27+CG27</f>
        <v>656</v>
      </c>
      <c r="AT27" s="181">
        <f>1+3+10+9</f>
        <v>23</v>
      </c>
      <c r="AU27" s="181">
        <f>32+25+63+38</f>
        <v>158</v>
      </c>
      <c r="AV27" s="181">
        <f>31+32+54+44</f>
        <v>161</v>
      </c>
      <c r="AW27" s="181">
        <f>50+46+74+65</f>
        <v>235</v>
      </c>
      <c r="AX27" s="181">
        <f>76+67+115+104</f>
        <v>362</v>
      </c>
      <c r="AY27" s="177">
        <f>69+47+70+53</f>
        <v>239</v>
      </c>
      <c r="AZ27" s="177">
        <f>9+8+20+12</f>
        <v>49</v>
      </c>
      <c r="BA27" s="177">
        <f>81+69+153+107</f>
        <v>410</v>
      </c>
      <c r="BB27" s="177">
        <f>76+62+86+90</f>
        <v>314</v>
      </c>
      <c r="BC27" s="177">
        <f>147+138+238+205</f>
        <v>728</v>
      </c>
      <c r="BD27" s="177">
        <f>106+106+159+128</f>
        <v>499</v>
      </c>
      <c r="BE27" s="177">
        <f>35+29+63+49</f>
        <v>176</v>
      </c>
      <c r="BF27" s="179">
        <f>135+101+148+122</f>
        <v>506</v>
      </c>
      <c r="BG27" s="177">
        <f>3+2+1+1</f>
        <v>7</v>
      </c>
      <c r="BH27" s="177">
        <v>18</v>
      </c>
      <c r="BI27" s="177">
        <f>35+25+42+37</f>
        <v>139</v>
      </c>
      <c r="BJ27" s="177">
        <f>22+10+12+12</f>
        <v>56</v>
      </c>
      <c r="BK27" s="177">
        <v>22</v>
      </c>
      <c r="BL27" s="177">
        <v>21</v>
      </c>
      <c r="BM27" s="177">
        <f>49+58+75+60</f>
        <v>242</v>
      </c>
      <c r="BN27" s="177">
        <f>63+41+78+81</f>
        <v>263</v>
      </c>
      <c r="BO27" s="177">
        <v>4</v>
      </c>
      <c r="BP27" s="177">
        <f>17+23+31+19</f>
        <v>90</v>
      </c>
      <c r="BQ27" s="177">
        <f>19+16+28+28</f>
        <v>91</v>
      </c>
      <c r="BR27" s="179">
        <f>34+25+44+36</f>
        <v>139</v>
      </c>
      <c r="BS27" s="177">
        <f>8+3+10+8</f>
        <v>29</v>
      </c>
      <c r="BT27" s="177">
        <f>135+137+175+78</f>
        <v>525</v>
      </c>
      <c r="BU27" s="177">
        <f>79+43+50+42</f>
        <v>214</v>
      </c>
      <c r="BV27" s="177">
        <f>136+70+94+73</f>
        <v>373</v>
      </c>
      <c r="BW27" s="177">
        <f>35+41+40+46</f>
        <v>162</v>
      </c>
      <c r="BX27" s="177">
        <f>78+87+112+82</f>
        <v>359</v>
      </c>
      <c r="BY27" s="177">
        <f>14+19+20+31</f>
        <v>84</v>
      </c>
      <c r="BZ27" s="177">
        <f>44+45+55+47</f>
        <v>191</v>
      </c>
      <c r="CA27" s="177">
        <f>68+51+89+52</f>
        <v>260</v>
      </c>
      <c r="CB27" s="179">
        <f>60+60+93+73</f>
        <v>286</v>
      </c>
      <c r="CC27" s="177">
        <f>54+50+92+77</f>
        <v>273</v>
      </c>
      <c r="CD27" s="177">
        <f>19+25+29+29</f>
        <v>102</v>
      </c>
      <c r="CE27" s="177">
        <f>48+30+54+43</f>
        <v>175</v>
      </c>
      <c r="CF27" s="177">
        <v>34</v>
      </c>
      <c r="CG27" s="177">
        <f>149+135+195+143</f>
        <v>622</v>
      </c>
      <c r="CH27" s="177">
        <f>139+121+212+191</f>
        <v>663</v>
      </c>
      <c r="CI27" s="177">
        <f>122+70+103+76</f>
        <v>371</v>
      </c>
      <c r="CJ27" s="177">
        <f>194+207+363+298</f>
        <v>1062</v>
      </c>
      <c r="CK27" s="178">
        <f>86+75+105+84</f>
        <v>350</v>
      </c>
      <c r="CL27" s="180">
        <f>2575+2224+3494+2794</f>
        <v>11087</v>
      </c>
    </row>
    <row r="28" spans="1:90">
      <c r="A28" s="93">
        <f>ROWS($A$3:A26)</f>
        <v>24</v>
      </c>
      <c r="B28" s="59" t="s">
        <v>5</v>
      </c>
      <c r="C28" s="241"/>
      <c r="D28" s="332" t="s">
        <v>14</v>
      </c>
      <c r="E28" s="333"/>
      <c r="F28" s="156">
        <f>1563+752</f>
        <v>2315</v>
      </c>
      <c r="G28" s="177">
        <f>486+334</f>
        <v>820</v>
      </c>
      <c r="H28" s="177">
        <f>813+461</f>
        <v>1274</v>
      </c>
      <c r="I28" s="178">
        <f>1376+647</f>
        <v>2023</v>
      </c>
      <c r="J28" s="181"/>
      <c r="K28" s="156">
        <f t="shared" si="37"/>
        <v>315</v>
      </c>
      <c r="L28" s="177">
        <f t="shared" si="38"/>
        <v>104</v>
      </c>
      <c r="M28" s="177">
        <f t="shared" si="39"/>
        <v>262</v>
      </c>
      <c r="N28" s="177">
        <f t="shared" si="40"/>
        <v>167</v>
      </c>
      <c r="O28" s="177">
        <f t="shared" si="41"/>
        <v>148</v>
      </c>
      <c r="P28" s="177">
        <f>'2008'!AZ28+'2008'!BA28</f>
        <v>268</v>
      </c>
      <c r="Q28" s="177">
        <f>'2008'!AU28</f>
        <v>111</v>
      </c>
      <c r="R28" s="177">
        <f t="shared" si="42"/>
        <v>180</v>
      </c>
      <c r="S28" s="177">
        <f t="shared" si="43"/>
        <v>101</v>
      </c>
      <c r="T28" s="177">
        <f t="shared" si="44"/>
        <v>204</v>
      </c>
      <c r="U28" s="179">
        <f t="shared" si="45"/>
        <v>455</v>
      </c>
      <c r="V28" s="177">
        <f t="shared" si="46"/>
        <v>43</v>
      </c>
      <c r="W28" s="177">
        <f t="shared" si="47"/>
        <v>74</v>
      </c>
      <c r="X28" s="177">
        <f t="shared" si="48"/>
        <v>142</v>
      </c>
      <c r="Y28" s="177">
        <f t="shared" si="49"/>
        <v>218</v>
      </c>
      <c r="Z28" s="177">
        <f t="shared" si="50"/>
        <v>175</v>
      </c>
      <c r="AA28" s="177">
        <f t="shared" si="51"/>
        <v>92</v>
      </c>
      <c r="AB28" s="179">
        <f t="shared" si="52"/>
        <v>76</v>
      </c>
      <c r="AC28" s="177">
        <f t="shared" si="53"/>
        <v>178</v>
      </c>
      <c r="AD28" s="177">
        <f t="shared" si="54"/>
        <v>59</v>
      </c>
      <c r="AE28" s="177">
        <f t="shared" si="55"/>
        <v>197</v>
      </c>
      <c r="AF28" s="177">
        <f t="shared" si="56"/>
        <v>94</v>
      </c>
      <c r="AG28" s="177">
        <f t="shared" si="57"/>
        <v>184</v>
      </c>
      <c r="AH28" s="177">
        <f t="shared" si="58"/>
        <v>161</v>
      </c>
      <c r="AI28" s="177">
        <f t="shared" si="59"/>
        <v>140</v>
      </c>
      <c r="AJ28" s="177">
        <f t="shared" si="60"/>
        <v>84</v>
      </c>
      <c r="AK28" s="179">
        <f t="shared" si="61"/>
        <v>177</v>
      </c>
      <c r="AL28" s="177">
        <f t="shared" si="62"/>
        <v>112</v>
      </c>
      <c r="AM28" s="177">
        <f t="shared" si="63"/>
        <v>430</v>
      </c>
      <c r="AN28" s="177">
        <f t="shared" si="64"/>
        <v>447</v>
      </c>
      <c r="AO28" s="177">
        <f t="shared" si="65"/>
        <v>172</v>
      </c>
      <c r="AP28" s="177">
        <f t="shared" si="66"/>
        <v>45</v>
      </c>
      <c r="AQ28" s="177">
        <f t="shared" si="67"/>
        <v>226</v>
      </c>
      <c r="AR28" s="177">
        <f t="shared" si="68"/>
        <v>127</v>
      </c>
      <c r="AS28" s="178">
        <f t="shared" si="69"/>
        <v>464</v>
      </c>
      <c r="AT28" s="181">
        <f>6+3</f>
        <v>9</v>
      </c>
      <c r="AU28" s="181">
        <f>72+39</f>
        <v>111</v>
      </c>
      <c r="AV28" s="181">
        <f>69+32</f>
        <v>101</v>
      </c>
      <c r="AW28" s="181">
        <f>107+60</f>
        <v>167</v>
      </c>
      <c r="AX28" s="181">
        <f>120+51</f>
        <v>171</v>
      </c>
      <c r="AY28" s="177">
        <f>64+40</f>
        <v>104</v>
      </c>
      <c r="AZ28" s="177">
        <f>12+3</f>
        <v>15</v>
      </c>
      <c r="BA28" s="177">
        <f>164+89</f>
        <v>253</v>
      </c>
      <c r="BB28" s="177">
        <f>153+51</f>
        <v>204</v>
      </c>
      <c r="BC28" s="177">
        <f>321+134</f>
        <v>455</v>
      </c>
      <c r="BD28" s="177">
        <f>177+85</f>
        <v>262</v>
      </c>
      <c r="BE28" s="177">
        <f>93+55</f>
        <v>148</v>
      </c>
      <c r="BF28" s="179">
        <f>205+110</f>
        <v>315</v>
      </c>
      <c r="BG28" s="177">
        <f>2+3</f>
        <v>5</v>
      </c>
      <c r="BH28" s="177">
        <v>7</v>
      </c>
      <c r="BI28" s="177">
        <f>75+60</f>
        <v>135</v>
      </c>
      <c r="BJ28" s="177">
        <f>23+15</f>
        <v>38</v>
      </c>
      <c r="BK28" s="177">
        <v>8</v>
      </c>
      <c r="BL28" s="177">
        <v>16</v>
      </c>
      <c r="BM28" s="177">
        <f>106+69</f>
        <v>175</v>
      </c>
      <c r="BN28" s="177">
        <f>117+77</f>
        <v>194</v>
      </c>
      <c r="BO28" s="177">
        <v>4</v>
      </c>
      <c r="BP28" s="177">
        <f>52+24</f>
        <v>76</v>
      </c>
      <c r="BQ28" s="177">
        <f>47+41</f>
        <v>88</v>
      </c>
      <c r="BR28" s="179">
        <f>43+31</f>
        <v>74</v>
      </c>
      <c r="BS28" s="177">
        <f>10+1</f>
        <v>11</v>
      </c>
      <c r="BT28" s="177">
        <f>129+57</f>
        <v>186</v>
      </c>
      <c r="BU28" s="177">
        <f>45+14</f>
        <v>59</v>
      </c>
      <c r="BV28" s="177">
        <f>121+63</f>
        <v>184</v>
      </c>
      <c r="BW28" s="177">
        <f>84+56</f>
        <v>140</v>
      </c>
      <c r="BX28" s="177">
        <f>105+73</f>
        <v>178</v>
      </c>
      <c r="BY28" s="177">
        <f>51+33</f>
        <v>84</v>
      </c>
      <c r="BZ28" s="177">
        <f>92+69</f>
        <v>161</v>
      </c>
      <c r="CA28" s="177">
        <f>65+29</f>
        <v>94</v>
      </c>
      <c r="CB28" s="179">
        <f>111+66</f>
        <v>177</v>
      </c>
      <c r="CC28" s="177">
        <f>109+63</f>
        <v>172</v>
      </c>
      <c r="CD28" s="177">
        <f>21+24</f>
        <v>45</v>
      </c>
      <c r="CE28" s="177">
        <f>53+59</f>
        <v>112</v>
      </c>
      <c r="CF28" s="177">
        <v>33</v>
      </c>
      <c r="CG28" s="177">
        <f>300+131</f>
        <v>431</v>
      </c>
      <c r="CH28" s="177">
        <f>303+127</f>
        <v>430</v>
      </c>
      <c r="CI28" s="177">
        <f>90+37</f>
        <v>127</v>
      </c>
      <c r="CJ28" s="177">
        <f>347+100</f>
        <v>447</v>
      </c>
      <c r="CK28" s="178">
        <f>131+95</f>
        <v>226</v>
      </c>
      <c r="CL28" s="180">
        <f>4238+2194</f>
        <v>6432</v>
      </c>
    </row>
    <row r="29" spans="1:90">
      <c r="A29" s="93">
        <f>ROWS($A$3:A27)</f>
        <v>25</v>
      </c>
      <c r="B29" s="59" t="s">
        <v>6</v>
      </c>
      <c r="C29" s="241"/>
      <c r="D29" s="332" t="s">
        <v>14</v>
      </c>
      <c r="E29" s="333"/>
      <c r="F29" s="156">
        <v>754</v>
      </c>
      <c r="G29" s="177">
        <v>523</v>
      </c>
      <c r="H29" s="177">
        <v>537</v>
      </c>
      <c r="I29" s="178">
        <v>698</v>
      </c>
      <c r="J29" s="181"/>
      <c r="K29" s="156">
        <f t="shared" si="37"/>
        <v>114</v>
      </c>
      <c r="L29" s="177">
        <f t="shared" si="38"/>
        <v>30</v>
      </c>
      <c r="M29" s="177">
        <f t="shared" si="39"/>
        <v>164</v>
      </c>
      <c r="N29" s="177">
        <f t="shared" si="40"/>
        <v>35</v>
      </c>
      <c r="O29" s="177">
        <f t="shared" si="41"/>
        <v>52</v>
      </c>
      <c r="P29" s="177">
        <f>'2008'!AZ29+'2008'!BA29</f>
        <v>98</v>
      </c>
      <c r="Q29" s="177">
        <f>'2008'!AU29</f>
        <v>45</v>
      </c>
      <c r="R29" s="177">
        <f t="shared" si="42"/>
        <v>27</v>
      </c>
      <c r="S29" s="177">
        <f t="shared" si="43"/>
        <v>28</v>
      </c>
      <c r="T29" s="177">
        <f t="shared" si="44"/>
        <v>76</v>
      </c>
      <c r="U29" s="179">
        <f t="shared" si="45"/>
        <v>85</v>
      </c>
      <c r="V29" s="177">
        <f t="shared" si="46"/>
        <v>47</v>
      </c>
      <c r="W29" s="177">
        <f t="shared" si="47"/>
        <v>38</v>
      </c>
      <c r="X29" s="177">
        <f t="shared" si="48"/>
        <v>134</v>
      </c>
      <c r="Y29" s="177">
        <f t="shared" si="49"/>
        <v>82</v>
      </c>
      <c r="Z29" s="177">
        <f t="shared" si="50"/>
        <v>133</v>
      </c>
      <c r="AA29" s="177">
        <f t="shared" si="51"/>
        <v>53</v>
      </c>
      <c r="AB29" s="179">
        <f t="shared" si="52"/>
        <v>36</v>
      </c>
      <c r="AC29" s="177">
        <f t="shared" si="53"/>
        <v>64</v>
      </c>
      <c r="AD29" s="177">
        <f t="shared" si="54"/>
        <v>26</v>
      </c>
      <c r="AE29" s="177">
        <f t="shared" si="55"/>
        <v>45</v>
      </c>
      <c r="AF29" s="177">
        <f t="shared" si="56"/>
        <v>15</v>
      </c>
      <c r="AG29" s="177">
        <f t="shared" si="57"/>
        <v>84</v>
      </c>
      <c r="AH29" s="177">
        <f t="shared" si="58"/>
        <v>88</v>
      </c>
      <c r="AI29" s="177">
        <f t="shared" si="59"/>
        <v>73</v>
      </c>
      <c r="AJ29" s="177">
        <f t="shared" si="60"/>
        <v>81</v>
      </c>
      <c r="AK29" s="179">
        <f t="shared" si="61"/>
        <v>61</v>
      </c>
      <c r="AL29" s="177">
        <f t="shared" si="62"/>
        <v>95</v>
      </c>
      <c r="AM29" s="177">
        <f t="shared" si="63"/>
        <v>119</v>
      </c>
      <c r="AN29" s="177">
        <f t="shared" si="64"/>
        <v>56</v>
      </c>
      <c r="AO29" s="177">
        <f t="shared" si="65"/>
        <v>94</v>
      </c>
      <c r="AP29" s="177">
        <f t="shared" si="66"/>
        <v>62</v>
      </c>
      <c r="AQ29" s="177">
        <f t="shared" si="67"/>
        <v>133</v>
      </c>
      <c r="AR29" s="177">
        <f t="shared" si="68"/>
        <v>22</v>
      </c>
      <c r="AS29" s="178">
        <f>CF29+CG29</f>
        <v>117</v>
      </c>
      <c r="AT29" s="181">
        <v>2</v>
      </c>
      <c r="AU29" s="181">
        <v>45</v>
      </c>
      <c r="AV29" s="181">
        <v>28</v>
      </c>
      <c r="AW29" s="181">
        <v>35</v>
      </c>
      <c r="AX29" s="181">
        <v>25</v>
      </c>
      <c r="AY29" s="177">
        <v>30</v>
      </c>
      <c r="AZ29" s="177">
        <v>5</v>
      </c>
      <c r="BA29" s="177">
        <v>93</v>
      </c>
      <c r="BB29" s="177">
        <v>76</v>
      </c>
      <c r="BC29" s="177">
        <v>85</v>
      </c>
      <c r="BD29" s="177">
        <v>164</v>
      </c>
      <c r="BE29" s="177">
        <v>52</v>
      </c>
      <c r="BF29" s="179">
        <v>114</v>
      </c>
      <c r="BG29" s="177">
        <v>3</v>
      </c>
      <c r="BH29" s="177">
        <v>6</v>
      </c>
      <c r="BI29" s="177">
        <f>128</f>
        <v>128</v>
      </c>
      <c r="BJ29" s="177">
        <f>44</f>
        <v>44</v>
      </c>
      <c r="BK29" s="177">
        <v>1</v>
      </c>
      <c r="BL29" s="177">
        <v>5</v>
      </c>
      <c r="BM29" s="177">
        <v>133</v>
      </c>
      <c r="BN29" s="177">
        <v>76</v>
      </c>
      <c r="BO29" s="177">
        <v>4</v>
      </c>
      <c r="BP29" s="177">
        <v>36</v>
      </c>
      <c r="BQ29" s="177">
        <v>49</v>
      </c>
      <c r="BR29" s="179">
        <v>38</v>
      </c>
      <c r="BS29" s="177">
        <v>5</v>
      </c>
      <c r="BT29" s="177">
        <v>40</v>
      </c>
      <c r="BU29" s="177">
        <f>26</f>
        <v>26</v>
      </c>
      <c r="BV29" s="177">
        <v>84</v>
      </c>
      <c r="BW29" s="177">
        <v>73</v>
      </c>
      <c r="BX29" s="177">
        <v>64</v>
      </c>
      <c r="BY29" s="177">
        <v>81</v>
      </c>
      <c r="BZ29" s="177">
        <f>88</f>
        <v>88</v>
      </c>
      <c r="CA29" s="177">
        <v>15</v>
      </c>
      <c r="CB29" s="179">
        <f>61</f>
        <v>61</v>
      </c>
      <c r="CC29" s="177">
        <f>94</f>
        <v>94</v>
      </c>
      <c r="CD29" s="177">
        <v>62</v>
      </c>
      <c r="CE29" s="177">
        <v>95</v>
      </c>
      <c r="CF29" s="177">
        <v>6</v>
      </c>
      <c r="CG29" s="177">
        <v>111</v>
      </c>
      <c r="CH29" s="177">
        <v>119</v>
      </c>
      <c r="CI29" s="177">
        <v>22</v>
      </c>
      <c r="CJ29" s="177">
        <v>56</v>
      </c>
      <c r="CK29" s="178">
        <v>133</v>
      </c>
      <c r="CL29" s="180">
        <f>2512</f>
        <v>2512</v>
      </c>
    </row>
    <row r="30" spans="1:90">
      <c r="A30" s="93">
        <f>ROWS($A$3:A28)</f>
        <v>26</v>
      </c>
      <c r="B30" s="60" t="s">
        <v>276</v>
      </c>
      <c r="C30" s="323"/>
      <c r="D30" s="332" t="s">
        <v>1</v>
      </c>
      <c r="E30" s="333"/>
      <c r="F30" s="207">
        <f>F35/F23</f>
        <v>25.940701696590349</v>
      </c>
      <c r="G30" s="208">
        <f>G35/G23</f>
        <v>30.661200541597712</v>
      </c>
      <c r="H30" s="208">
        <f>H35/H23</f>
        <v>18.05483230361871</v>
      </c>
      <c r="I30" s="209">
        <f>I35/I23</f>
        <v>30.732095868003697</v>
      </c>
      <c r="J30" s="213"/>
      <c r="K30" s="218">
        <f t="shared" si="37"/>
        <v>28.840750436300173</v>
      </c>
      <c r="L30" s="219">
        <f t="shared" si="38"/>
        <v>15.357728337236534</v>
      </c>
      <c r="M30" s="219">
        <f t="shared" si="39"/>
        <v>36.372899159663866</v>
      </c>
      <c r="N30" s="219">
        <f t="shared" si="40"/>
        <v>30.497320471597</v>
      </c>
      <c r="O30" s="219">
        <f t="shared" si="41"/>
        <v>39.758672699849171</v>
      </c>
      <c r="P30" s="208">
        <f>P35/P23</f>
        <v>20.014591109602986</v>
      </c>
      <c r="Q30" s="219">
        <f>'2008'!AU30</f>
        <v>28.835249042145595</v>
      </c>
      <c r="R30" s="208">
        <f>R35/R23</f>
        <v>17.007755695588948</v>
      </c>
      <c r="S30" s="219">
        <f t="shared" si="43"/>
        <v>23.418331374853114</v>
      </c>
      <c r="T30" s="219">
        <f t="shared" si="44"/>
        <v>26.487373737373737</v>
      </c>
      <c r="U30" s="220">
        <f t="shared" si="45"/>
        <v>31.196378269617707</v>
      </c>
      <c r="V30" s="208">
        <f>V35/V23</f>
        <v>16.553784860557769</v>
      </c>
      <c r="W30" s="219">
        <f t="shared" si="47"/>
        <v>26.178284182305632</v>
      </c>
      <c r="X30" s="208">
        <f>X35/X23</f>
        <v>36.625800548947851</v>
      </c>
      <c r="Y30" s="208">
        <f>Y35/Y23</f>
        <v>31.397959183673468</v>
      </c>
      <c r="Z30" s="219">
        <f t="shared" si="50"/>
        <v>40.707211120764555</v>
      </c>
      <c r="AA30" s="208">
        <f>AA35/AA23</f>
        <v>33.976391231028671</v>
      </c>
      <c r="AB30" s="220">
        <f t="shared" si="52"/>
        <v>25.5</v>
      </c>
      <c r="AC30" s="219">
        <f t="shared" si="53"/>
        <v>29.788679245283017</v>
      </c>
      <c r="AD30" s="219">
        <f t="shared" si="54"/>
        <v>11.494235588972431</v>
      </c>
      <c r="AE30" s="208">
        <f>AE35/AE23</f>
        <v>13.066144047035767</v>
      </c>
      <c r="AF30" s="219">
        <f t="shared" si="56"/>
        <v>17.436907366885485</v>
      </c>
      <c r="AG30" s="219">
        <f t="shared" si="57"/>
        <v>11.835950080515298</v>
      </c>
      <c r="AH30" s="219">
        <f t="shared" si="58"/>
        <v>30.728406055209263</v>
      </c>
      <c r="AI30" s="219">
        <f t="shared" si="59"/>
        <v>28.943714821763603</v>
      </c>
      <c r="AJ30" s="219">
        <f t="shared" si="60"/>
        <v>42.901234567901234</v>
      </c>
      <c r="AK30" s="220">
        <f t="shared" si="61"/>
        <v>24.014101778050275</v>
      </c>
      <c r="AL30" s="219">
        <f t="shared" si="62"/>
        <v>36.914502164502167</v>
      </c>
      <c r="AM30" s="219">
        <f t="shared" si="63"/>
        <v>35.15269596737653</v>
      </c>
      <c r="AN30" s="219">
        <f t="shared" si="64"/>
        <v>28.22636655948553</v>
      </c>
      <c r="AO30" s="219">
        <f t="shared" si="65"/>
        <v>32.446107784431135</v>
      </c>
      <c r="AP30" s="219">
        <f t="shared" si="66"/>
        <v>36.388278388278387</v>
      </c>
      <c r="AQ30" s="219">
        <f t="shared" si="67"/>
        <v>34.858496525584336</v>
      </c>
      <c r="AR30" s="219">
        <f t="shared" si="68"/>
        <v>17.063627254509019</v>
      </c>
      <c r="AS30" s="209">
        <f t="shared" ref="AS30:CL30" si="70">AS35/AS23</f>
        <v>33.994489190334889</v>
      </c>
      <c r="AT30" s="208">
        <f t="shared" si="70"/>
        <v>9.8910505836575879</v>
      </c>
      <c r="AU30" s="208">
        <f t="shared" si="70"/>
        <v>28.835249042145595</v>
      </c>
      <c r="AV30" s="208">
        <f t="shared" si="70"/>
        <v>23.418331374853114</v>
      </c>
      <c r="AW30" s="208">
        <f t="shared" si="70"/>
        <v>30.497320471597</v>
      </c>
      <c r="AX30" s="208">
        <f t="shared" si="70"/>
        <v>18.02048726467331</v>
      </c>
      <c r="AY30" s="208">
        <f t="shared" si="70"/>
        <v>15.357728337236534</v>
      </c>
      <c r="AZ30" s="208">
        <f t="shared" si="70"/>
        <v>19.356481481481481</v>
      </c>
      <c r="BA30" s="208">
        <f t="shared" si="70"/>
        <v>20.066642255584036</v>
      </c>
      <c r="BB30" s="208">
        <f t="shared" si="70"/>
        <v>26.487373737373737</v>
      </c>
      <c r="BC30" s="208">
        <f t="shared" si="70"/>
        <v>31.196378269617707</v>
      </c>
      <c r="BD30" s="208">
        <f t="shared" si="70"/>
        <v>36.372899159663866</v>
      </c>
      <c r="BE30" s="208">
        <f t="shared" si="70"/>
        <v>39.758672699849171</v>
      </c>
      <c r="BF30" s="216">
        <f t="shared" si="70"/>
        <v>28.840750436300173</v>
      </c>
      <c r="BG30" s="208">
        <f t="shared" si="70"/>
        <v>9.6408839779005522</v>
      </c>
      <c r="BH30" s="208">
        <f t="shared" si="70"/>
        <v>29.943181818181817</v>
      </c>
      <c r="BI30" s="208">
        <f t="shared" si="70"/>
        <v>37.210945273631843</v>
      </c>
      <c r="BJ30" s="208">
        <f t="shared" si="70"/>
        <v>18.074119076549209</v>
      </c>
      <c r="BK30" s="208">
        <f t="shared" si="70"/>
        <v>17.673076923076923</v>
      </c>
      <c r="BL30" s="208">
        <f t="shared" si="70"/>
        <v>34.450000000000003</v>
      </c>
      <c r="BM30" s="208">
        <f t="shared" si="70"/>
        <v>40.707211120764555</v>
      </c>
      <c r="BN30" s="208">
        <f t="shared" si="70"/>
        <v>32.393939393939391</v>
      </c>
      <c r="BO30" s="208">
        <f t="shared" si="70"/>
        <v>26.783783783783782</v>
      </c>
      <c r="BP30" s="208">
        <f t="shared" si="70"/>
        <v>25.5</v>
      </c>
      <c r="BQ30" s="208">
        <f t="shared" si="70"/>
        <v>34.455035971223019</v>
      </c>
      <c r="BR30" s="216">
        <f t="shared" si="70"/>
        <v>26.178284182305632</v>
      </c>
      <c r="BS30" s="208">
        <f t="shared" si="70"/>
        <v>13.158671586715867</v>
      </c>
      <c r="BT30" s="208">
        <f t="shared" si="70"/>
        <v>13.059564418787719</v>
      </c>
      <c r="BU30" s="208">
        <f t="shared" si="70"/>
        <v>11.494235588972431</v>
      </c>
      <c r="BV30" s="208">
        <f t="shared" si="70"/>
        <v>11.835950080515298</v>
      </c>
      <c r="BW30" s="208">
        <f t="shared" si="70"/>
        <v>28.943714821763603</v>
      </c>
      <c r="BX30" s="208">
        <f t="shared" si="70"/>
        <v>29.788679245283017</v>
      </c>
      <c r="BY30" s="208">
        <f t="shared" si="70"/>
        <v>42.901234567901234</v>
      </c>
      <c r="BZ30" s="208">
        <f t="shared" si="70"/>
        <v>30.728406055209263</v>
      </c>
      <c r="CA30" s="208">
        <f t="shared" si="70"/>
        <v>17.436907366885485</v>
      </c>
      <c r="CB30" s="216">
        <f t="shared" si="70"/>
        <v>24.014101778050275</v>
      </c>
      <c r="CC30" s="208">
        <f t="shared" si="70"/>
        <v>32.446107784431135</v>
      </c>
      <c r="CD30" s="208">
        <f t="shared" si="70"/>
        <v>36.388278388278387</v>
      </c>
      <c r="CE30" s="208">
        <f t="shared" si="70"/>
        <v>36.914502164502167</v>
      </c>
      <c r="CF30" s="208">
        <f t="shared" si="70"/>
        <v>32.739726027397261</v>
      </c>
      <c r="CG30" s="208">
        <f t="shared" si="70"/>
        <v>34.077270673294173</v>
      </c>
      <c r="CH30" s="208">
        <f t="shared" si="70"/>
        <v>35.15269596737653</v>
      </c>
      <c r="CI30" s="208">
        <f t="shared" si="70"/>
        <v>17.063627254509019</v>
      </c>
      <c r="CJ30" s="208">
        <f t="shared" si="70"/>
        <v>28.22636655948553</v>
      </c>
      <c r="CK30" s="209">
        <f t="shared" si="70"/>
        <v>34.858496525584336</v>
      </c>
      <c r="CL30" s="217">
        <f t="shared" si="70"/>
        <v>25.16576977685849</v>
      </c>
    </row>
    <row r="31" spans="1:90">
      <c r="A31" s="93">
        <f>ROWS($A$3:A29)</f>
        <v>27</v>
      </c>
      <c r="B31" s="60" t="str">
        <f>"Entwicklung Betriebe ab 5 ha LF von 2001 / "&amp;C23</f>
        <v>Entwicklung Betriebe ab 5 ha LF von 2001 / 2007</v>
      </c>
      <c r="C31" s="323"/>
      <c r="D31" s="332" t="s">
        <v>4</v>
      </c>
      <c r="E31" s="333"/>
      <c r="F31" s="182">
        <f>(F23-F24)/('2001'!F23-'2001'!F24)%-100</f>
        <v>-16.503800217155273</v>
      </c>
      <c r="G31" s="183">
        <f>(G23-G24)/('2001'!G23-'2001'!G24)%-100</f>
        <v>-14.628391663389692</v>
      </c>
      <c r="H31" s="183">
        <f>(H23-H24)/('2001'!H23-'2001'!H24)%-100</f>
        <v>-15.418786850819799</v>
      </c>
      <c r="I31" s="184">
        <f>(I23-I24)/('2001'!I23-'2001'!I24)%-100</f>
        <v>-17.614464858559344</v>
      </c>
      <c r="J31" s="181"/>
      <c r="K31" s="156">
        <f t="shared" si="37"/>
        <v>-17.603160667251984</v>
      </c>
      <c r="L31" s="177">
        <f t="shared" si="38"/>
        <v>-14.36837029893924</v>
      </c>
      <c r="M31" s="177">
        <f t="shared" si="39"/>
        <v>-19.881145326850358</v>
      </c>
      <c r="N31" s="177">
        <f t="shared" si="40"/>
        <v>-14.871194379391099</v>
      </c>
      <c r="O31" s="177">
        <f t="shared" si="41"/>
        <v>-12.406576980568019</v>
      </c>
      <c r="P31" s="183">
        <f>100-(P23%/((AZ23%)/(100-AZ31)+(BA23%)/(100-BA31)))</f>
        <v>-14.73228413599405</v>
      </c>
      <c r="Q31" s="186">
        <f>'2008'!AU31</f>
        <v>-19.11357340720221</v>
      </c>
      <c r="R31" s="183">
        <f>100-(R23%/((AT23%)/(100-AT31)+(AX23%)/(100-AX31)))</f>
        <v>-11.348012517026632</v>
      </c>
      <c r="S31" s="186">
        <f t="shared" si="43"/>
        <v>-16.388467374810318</v>
      </c>
      <c r="T31" s="186">
        <f t="shared" si="44"/>
        <v>-18.392581143740344</v>
      </c>
      <c r="U31" s="187">
        <f t="shared" si="45"/>
        <v>-17.130365659777425</v>
      </c>
      <c r="V31" s="183">
        <f>100-(V23%/((BG23%)/(100-BG31)+(BJ23%)/(100-BJ31)))</f>
        <v>-6.9569774860996887</v>
      </c>
      <c r="W31" s="186">
        <f t="shared" si="47"/>
        <v>-16.930379746835442</v>
      </c>
      <c r="X31" s="183">
        <f>100-(X23%/((BH23%)/(100-BH31)+(BI23%)/(100-BI31)))</f>
        <v>-12.625136266897684</v>
      </c>
      <c r="Y31" s="183">
        <f>100-(Y23%/((BK23%)/(100-BK31)+(BL23%)/(100-BL31)+(BN23%)/(100-BN31)))</f>
        <v>-15.221056483334152</v>
      </c>
      <c r="Z31" s="186">
        <f t="shared" si="50"/>
        <v>-15.727272727272734</v>
      </c>
      <c r="AA31" s="183">
        <f>100-(AA23%/((BO23%)/(100-BO31)+(BQ23%)/(100-BQ31)))</f>
        <v>-12.320124420285353</v>
      </c>
      <c r="AB31" s="187">
        <f t="shared" si="52"/>
        <v>-18.641114982578401</v>
      </c>
      <c r="AC31" s="186">
        <f t="shared" si="53"/>
        <v>-17.163009404388717</v>
      </c>
      <c r="AD31" s="186">
        <f t="shared" si="54"/>
        <v>-12.121212121212125</v>
      </c>
      <c r="AE31" s="183">
        <f>100-(AE23%/((BS23%)/(100-BS31)+(BT23%)/(100-BT31)))</f>
        <v>-13.098800393925458</v>
      </c>
      <c r="AF31" s="186">
        <f t="shared" si="56"/>
        <v>-15.843429636533088</v>
      </c>
      <c r="AG31" s="186">
        <f t="shared" si="57"/>
        <v>-13.049853372434015</v>
      </c>
      <c r="AH31" s="186">
        <f t="shared" si="58"/>
        <v>-17.083786724700758</v>
      </c>
      <c r="AI31" s="186">
        <f t="shared" si="59"/>
        <v>-17.694641051567245</v>
      </c>
      <c r="AJ31" s="186">
        <f t="shared" si="60"/>
        <v>-20</v>
      </c>
      <c r="AK31" s="187">
        <f t="shared" si="61"/>
        <v>-19.166666666666671</v>
      </c>
      <c r="AL31" s="186">
        <f t="shared" si="62"/>
        <v>-18.142548596112306</v>
      </c>
      <c r="AM31" s="186">
        <f t="shared" si="63"/>
        <v>-18.154246100519927</v>
      </c>
      <c r="AN31" s="186">
        <f t="shared" si="64"/>
        <v>-15.493421052631575</v>
      </c>
      <c r="AO31" s="186">
        <f t="shared" si="65"/>
        <v>-18.827160493827165</v>
      </c>
      <c r="AP31" s="186">
        <f t="shared" si="66"/>
        <v>-19.114688128772627</v>
      </c>
      <c r="AQ31" s="186">
        <f t="shared" si="67"/>
        <v>-19.531731361675909</v>
      </c>
      <c r="AR31" s="186">
        <f t="shared" si="68"/>
        <v>-14.391392064559511</v>
      </c>
      <c r="AS31" s="184">
        <f>100-(AS23%/((CF23%)/(100-CF31)+(CG23%)/(100-CG31)))</f>
        <v>-19.222851443449017</v>
      </c>
      <c r="AT31" s="186">
        <f>(AT23-AT24)/('2001'!AT23-'2001'!AT24)%-100</f>
        <v>-3.0612244897959187</v>
      </c>
      <c r="AU31" s="181">
        <f>(AU23-AU24)/('2001'!AU23-'2001'!AU24)%-100</f>
        <v>-19.11357340720221</v>
      </c>
      <c r="AV31" s="181">
        <f>(AV23-AV24)/('2001'!AV23-'2001'!AV24)%-100</f>
        <v>-16.388467374810318</v>
      </c>
      <c r="AW31" s="181">
        <f>(AW23-AW24)/('2001'!AW23-'2001'!AW24)%-100</f>
        <v>-14.871194379391099</v>
      </c>
      <c r="AX31" s="181">
        <f>(AX23-AX24)/('2001'!AX23-'2001'!AX24)%-100</f>
        <v>-12.636815920398021</v>
      </c>
      <c r="AY31" s="177">
        <f>(AY23-AY24)/('2001'!AY23-'2001'!AY24)%-100</f>
        <v>-14.36837029893924</v>
      </c>
      <c r="AZ31" s="177">
        <f>(AZ23-AZ24)/('2001'!AZ23-'2001'!AZ24)%-100</f>
        <v>-16.666666666666671</v>
      </c>
      <c r="BA31" s="177">
        <f>(BA23-BA24)/('2001'!BA23-'2001'!BA24)%-100</f>
        <v>-14.582023884349468</v>
      </c>
      <c r="BB31" s="177">
        <f>(BB23-BB24)/('2001'!BB23-'2001'!BB24)%-100</f>
        <v>-18.392581143740344</v>
      </c>
      <c r="BC31" s="177">
        <f>(BC23-BC24)/('2001'!BC23-'2001'!BC24)%-100</f>
        <v>-17.130365659777425</v>
      </c>
      <c r="BD31" s="177">
        <f>(BD23-BD24)/('2001'!BD23-'2001'!BD24)%-100</f>
        <v>-19.881145326850358</v>
      </c>
      <c r="BE31" s="177">
        <f>(BE23-BE24)/('2001'!BE23-'2001'!BE24)%-100</f>
        <v>-12.406576980568019</v>
      </c>
      <c r="BF31" s="179">
        <f>(BF23-BF24)/('2001'!BF23-'2001'!BF24)%-100</f>
        <v>-17.603160667251984</v>
      </c>
      <c r="BG31" s="177">
        <f>(BG23-BG24)/('2001'!BG23-'2001'!BG24)%-100</f>
        <v>-13.333333333333329</v>
      </c>
      <c r="BH31" s="177">
        <f>(BH23-BH24)/('2001'!BH23-'2001'!BH24)%-100</f>
        <v>-12.698412698412696</v>
      </c>
      <c r="BI31" s="177">
        <f>(BI23-BI24)/('2001'!BI23-'2001'!BI24)%-100</f>
        <v>-12.618724559023065</v>
      </c>
      <c r="BJ31" s="177">
        <f>(BJ23-BJ24)/('2001'!BJ23-'2001'!BJ24)%-100</f>
        <v>-5.6497175141242906</v>
      </c>
      <c r="BK31" s="177">
        <f>(BK23-BK24)/('2001'!BK23-'2001'!BK24)%-100</f>
        <v>-7.3529411764705941</v>
      </c>
      <c r="BL31" s="177">
        <f>(BL23-BL24)/('2001'!BL23-'2001'!BL24)%-100</f>
        <v>-24.324324324324323</v>
      </c>
      <c r="BM31" s="177">
        <f>(BM23-BM24)/('2001'!BM23-'2001'!BM24)%-100</f>
        <v>-15.727272727272734</v>
      </c>
      <c r="BN31" s="177">
        <f>(BN23-BN24)/('2001'!BN23-'2001'!BN24)%-100</f>
        <v>-15.392456676860348</v>
      </c>
      <c r="BO31" s="177">
        <f>(BO23-BO24)/('2001'!BO23-'2001'!BO24)%-100</f>
        <v>-19.047619047619051</v>
      </c>
      <c r="BP31" s="177">
        <f>(BP23-BP24)/('2001'!BP23-'2001'!BP24)%-100</f>
        <v>-18.641114982578401</v>
      </c>
      <c r="BQ31" s="177">
        <f>(BQ23-BQ24)/('2001'!BQ23-'2001'!BQ24)%-100</f>
        <v>-11.899313501144164</v>
      </c>
      <c r="BR31" s="179">
        <f>(BR23-BR24)/('2001'!BR23-'2001'!BR24)%-100</f>
        <v>-16.930379746835442</v>
      </c>
      <c r="BS31" s="177">
        <f>(BS23-BS24)/('2001'!BS23-'2001'!BS24)%-100</f>
        <v>-15.254237288135585</v>
      </c>
      <c r="BT31" s="177">
        <f>(BT23-BT24)/('2001'!BT23-'2001'!BT24)%-100</f>
        <v>-12.948593598448113</v>
      </c>
      <c r="BU31" s="177">
        <f>(BU23-BU24)/('2001'!BU23-'2001'!BU24)%-100</f>
        <v>-12.121212121212125</v>
      </c>
      <c r="BV31" s="177">
        <f>(BV23-BV24)/('2001'!BV23-'2001'!BV24)%-100</f>
        <v>-13.049853372434015</v>
      </c>
      <c r="BW31" s="177">
        <f>(BW23-BW24)/('2001'!BW23-'2001'!BW24)%-100</f>
        <v>-17.694641051567245</v>
      </c>
      <c r="BX31" s="177">
        <f>(BX23-BX24)/('2001'!BX23-'2001'!BX24)%-100</f>
        <v>-17.163009404388717</v>
      </c>
      <c r="BY31" s="177">
        <f>(BY23-BY24)/('2001'!BY23-'2001'!BY24)%-100</f>
        <v>-20</v>
      </c>
      <c r="BZ31" s="177">
        <f>(BZ23-BZ24)/('2001'!BZ23-'2001'!BZ24)%-100</f>
        <v>-17.083786724700758</v>
      </c>
      <c r="CA31" s="177">
        <f>(CA23-CA24)/('2001'!CA23-'2001'!CA24)%-100</f>
        <v>-15.843429636533088</v>
      </c>
      <c r="CB31" s="179">
        <f>(CB23-CB24)/('2001'!CB23-'2001'!CB24)%-100</f>
        <v>-19.166666666666671</v>
      </c>
      <c r="CC31" s="177">
        <f>(CC23-CC24)/('2001'!CC23-'2001'!CC24)%-100</f>
        <v>-18.827160493827165</v>
      </c>
      <c r="CD31" s="177">
        <f>(CD23-CD24)/('2001'!CD23-'2001'!CD24)%-100</f>
        <v>-19.114688128772627</v>
      </c>
      <c r="CE31" s="177">
        <f>(CE23-CE24)/('2001'!CE23-'2001'!CE24)%-100</f>
        <v>-18.142548596112306</v>
      </c>
      <c r="CF31" s="177">
        <f>(CF23-CF24)/('2001'!CF23-'2001'!CF24)%-100</f>
        <v>-19.565217391304344</v>
      </c>
      <c r="CG31" s="177">
        <f>(CG23-CG24)/('2001'!CG23-'2001'!CG24)%-100</f>
        <v>-19.200333194502292</v>
      </c>
      <c r="CH31" s="177">
        <f>(CH23-CH24)/('2001'!CH23-'2001'!CH24)%-100</f>
        <v>-18.154246100519927</v>
      </c>
      <c r="CI31" s="177">
        <f>(CI23-CI24)/('2001'!CI23-'2001'!CI24)%-100</f>
        <v>-14.391392064559511</v>
      </c>
      <c r="CJ31" s="177">
        <f>(CJ23-CJ24)/('2001'!CJ23-'2001'!CJ24)%-100</f>
        <v>-15.493421052631575</v>
      </c>
      <c r="CK31" s="178">
        <f>(CK23-CK24)/('2001'!CK23-'2001'!CK24)%-100</f>
        <v>-19.531731361675909</v>
      </c>
      <c r="CL31" s="180">
        <f>(CL23-CL24)/('2001'!CL23-'2001'!CL24)%-100</f>
        <v>-16.335286047170015</v>
      </c>
    </row>
    <row r="32" spans="1:90">
      <c r="A32" s="93">
        <f>ROWS($A$3:A30)</f>
        <v>28</v>
      </c>
      <c r="B32" s="60" t="s">
        <v>181</v>
      </c>
      <c r="C32" s="323"/>
      <c r="D32" s="332" t="s">
        <v>4</v>
      </c>
      <c r="E32" s="333"/>
      <c r="F32" s="156">
        <v>37</v>
      </c>
      <c r="G32" s="177">
        <v>31</v>
      </c>
      <c r="H32" s="177">
        <v>28</v>
      </c>
      <c r="I32" s="178">
        <v>42</v>
      </c>
      <c r="J32" s="181"/>
      <c r="K32" s="156">
        <f t="shared" si="37"/>
        <v>35</v>
      </c>
      <c r="L32" s="177">
        <f t="shared" si="38"/>
        <v>35</v>
      </c>
      <c r="M32" s="177">
        <f t="shared" si="39"/>
        <v>34</v>
      </c>
      <c r="N32" s="177">
        <f t="shared" si="40"/>
        <v>42</v>
      </c>
      <c r="O32" s="177">
        <f t="shared" si="41"/>
        <v>41</v>
      </c>
      <c r="P32" s="183">
        <f>(AZ23*AZ32+BA23*BA32)/P23</f>
        <v>40.539192399049881</v>
      </c>
      <c r="Q32" s="186">
        <f>'2008'!AU32</f>
        <v>30</v>
      </c>
      <c r="R32" s="183">
        <f>(AT23*AT32+AX23*AX32)/R23</f>
        <v>40.989820649539503</v>
      </c>
      <c r="S32" s="186">
        <f t="shared" si="43"/>
        <v>35</v>
      </c>
      <c r="T32" s="186">
        <f t="shared" si="44"/>
        <v>38</v>
      </c>
      <c r="U32" s="187">
        <f t="shared" si="45"/>
        <v>47</v>
      </c>
      <c r="V32" s="183">
        <f>(BG23*BG32+BJ23*BJ32)/V23</f>
        <v>16.819721115537849</v>
      </c>
      <c r="W32" s="186">
        <f t="shared" si="47"/>
        <v>25</v>
      </c>
      <c r="X32" s="183">
        <f>(BH23*BH32+BI23*BI32)/X23</f>
        <v>33.724611161939613</v>
      </c>
      <c r="Y32" s="183">
        <f>(BK23*BK32+BL23*BL32+BN23*BN32)/Y23</f>
        <v>43.571428571428569</v>
      </c>
      <c r="Z32" s="186">
        <f t="shared" si="50"/>
        <v>33</v>
      </c>
      <c r="AA32" s="183">
        <f>(BO23*BO32+BQ23*BQ32)/AA23</f>
        <v>32.18549747048904</v>
      </c>
      <c r="AB32" s="187">
        <f t="shared" si="52"/>
        <v>26</v>
      </c>
      <c r="AC32" s="186">
        <f t="shared" si="53"/>
        <v>36</v>
      </c>
      <c r="AD32" s="186">
        <f t="shared" si="54"/>
        <v>28</v>
      </c>
      <c r="AE32" s="183">
        <f>(BS23*BS32+BT23*BT32)/AE23</f>
        <v>32.132778049975499</v>
      </c>
      <c r="AF32" s="186">
        <f t="shared" si="56"/>
        <v>29</v>
      </c>
      <c r="AG32" s="186">
        <f t="shared" si="57"/>
        <v>30</v>
      </c>
      <c r="AH32" s="186">
        <f t="shared" si="58"/>
        <v>45</v>
      </c>
      <c r="AI32" s="186">
        <f t="shared" si="59"/>
        <v>26</v>
      </c>
      <c r="AJ32" s="186">
        <f t="shared" si="60"/>
        <v>26</v>
      </c>
      <c r="AK32" s="187">
        <f t="shared" si="61"/>
        <v>27</v>
      </c>
      <c r="AL32" s="186">
        <f t="shared" si="62"/>
        <v>23</v>
      </c>
      <c r="AM32" s="186">
        <f t="shared" si="63"/>
        <v>49</v>
      </c>
      <c r="AN32" s="186">
        <f t="shared" si="64"/>
        <v>59</v>
      </c>
      <c r="AO32" s="186">
        <f t="shared" si="65"/>
        <v>28</v>
      </c>
      <c r="AP32" s="186">
        <f t="shared" si="66"/>
        <v>24</v>
      </c>
      <c r="AQ32" s="186">
        <f t="shared" si="67"/>
        <v>34</v>
      </c>
      <c r="AR32" s="186">
        <f t="shared" si="68"/>
        <v>48</v>
      </c>
      <c r="AS32" s="184">
        <f>(CF23*CF32+CG23*CG32)/AS23</f>
        <v>41.433234421364986</v>
      </c>
      <c r="AT32" s="186">
        <v>62</v>
      </c>
      <c r="AU32" s="181">
        <v>30</v>
      </c>
      <c r="AV32" s="181">
        <v>35</v>
      </c>
      <c r="AW32" s="181">
        <v>42</v>
      </c>
      <c r="AX32" s="181">
        <v>38</v>
      </c>
      <c r="AY32" s="177">
        <v>35</v>
      </c>
      <c r="AZ32" s="177">
        <v>60</v>
      </c>
      <c r="BA32" s="177">
        <v>39</v>
      </c>
      <c r="BB32" s="177">
        <v>38</v>
      </c>
      <c r="BC32" s="177">
        <v>47</v>
      </c>
      <c r="BD32" s="177">
        <v>34</v>
      </c>
      <c r="BE32" s="177">
        <v>41</v>
      </c>
      <c r="BF32" s="179">
        <v>35</v>
      </c>
      <c r="BG32" s="177">
        <v>16</v>
      </c>
      <c r="BH32" s="177">
        <v>42</v>
      </c>
      <c r="BI32" s="177">
        <v>33</v>
      </c>
      <c r="BJ32" s="177">
        <v>17</v>
      </c>
      <c r="BK32" s="177">
        <v>58</v>
      </c>
      <c r="BL32" s="177">
        <v>63</v>
      </c>
      <c r="BM32" s="177">
        <v>33</v>
      </c>
      <c r="BN32" s="177">
        <v>41</v>
      </c>
      <c r="BO32" s="177">
        <v>50</v>
      </c>
      <c r="BP32" s="177">
        <v>26</v>
      </c>
      <c r="BQ32" s="177">
        <v>31</v>
      </c>
      <c r="BR32" s="179">
        <v>25</v>
      </c>
      <c r="BS32" s="177">
        <v>34</v>
      </c>
      <c r="BT32" s="177">
        <v>32</v>
      </c>
      <c r="BU32" s="177">
        <v>28</v>
      </c>
      <c r="BV32" s="177">
        <v>30</v>
      </c>
      <c r="BW32" s="177">
        <v>26</v>
      </c>
      <c r="BX32" s="177">
        <v>36</v>
      </c>
      <c r="BY32" s="177">
        <v>26</v>
      </c>
      <c r="BZ32" s="177">
        <v>45</v>
      </c>
      <c r="CA32" s="177">
        <v>29</v>
      </c>
      <c r="CB32" s="179">
        <v>27</v>
      </c>
      <c r="CC32" s="177">
        <v>28</v>
      </c>
      <c r="CD32" s="177">
        <v>24</v>
      </c>
      <c r="CE32" s="177">
        <v>23</v>
      </c>
      <c r="CF32" s="177">
        <v>48</v>
      </c>
      <c r="CG32" s="177">
        <v>41</v>
      </c>
      <c r="CH32" s="177">
        <v>49</v>
      </c>
      <c r="CI32" s="177">
        <v>48</v>
      </c>
      <c r="CJ32" s="177">
        <v>59</v>
      </c>
      <c r="CK32" s="178">
        <v>34</v>
      </c>
      <c r="CL32" s="180">
        <v>36</v>
      </c>
    </row>
    <row r="33" spans="1:90">
      <c r="A33" s="93">
        <f>ROWS($A$3:A31)</f>
        <v>29</v>
      </c>
      <c r="B33" s="60" t="s">
        <v>72</v>
      </c>
      <c r="C33" s="323"/>
      <c r="D33" s="332" t="s">
        <v>4</v>
      </c>
      <c r="E33" s="333"/>
      <c r="F33" s="182">
        <f>100-F32</f>
        <v>63</v>
      </c>
      <c r="G33" s="183">
        <f>100-G32</f>
        <v>69</v>
      </c>
      <c r="H33" s="183">
        <f>100-H32</f>
        <v>72</v>
      </c>
      <c r="I33" s="184">
        <f>100-I32</f>
        <v>58</v>
      </c>
      <c r="J33" s="181"/>
      <c r="K33" s="185">
        <f t="shared" si="37"/>
        <v>65</v>
      </c>
      <c r="L33" s="186">
        <f t="shared" si="38"/>
        <v>65</v>
      </c>
      <c r="M33" s="186">
        <f t="shared" si="39"/>
        <v>66</v>
      </c>
      <c r="N33" s="186">
        <f t="shared" si="40"/>
        <v>58</v>
      </c>
      <c r="O33" s="186">
        <f t="shared" si="41"/>
        <v>59</v>
      </c>
      <c r="P33" s="183">
        <f>100-P32</f>
        <v>59.460807600950119</v>
      </c>
      <c r="Q33" s="186">
        <f>'2008'!AU33</f>
        <v>70</v>
      </c>
      <c r="R33" s="183">
        <f>100-R32</f>
        <v>59.010179350460497</v>
      </c>
      <c r="S33" s="186">
        <f t="shared" si="43"/>
        <v>65</v>
      </c>
      <c r="T33" s="186">
        <f t="shared" si="44"/>
        <v>62</v>
      </c>
      <c r="U33" s="187">
        <f t="shared" si="45"/>
        <v>53</v>
      </c>
      <c r="V33" s="183">
        <f>100-V32</f>
        <v>83.180278884462155</v>
      </c>
      <c r="W33" s="186">
        <f t="shared" si="47"/>
        <v>75</v>
      </c>
      <c r="X33" s="183">
        <f>100-X32</f>
        <v>66.275388838060394</v>
      </c>
      <c r="Y33" s="183">
        <f>100-Y32</f>
        <v>56.428571428571431</v>
      </c>
      <c r="Z33" s="186">
        <f t="shared" si="50"/>
        <v>67</v>
      </c>
      <c r="AA33" s="183">
        <f>100-AA32</f>
        <v>67.81450252951096</v>
      </c>
      <c r="AB33" s="187">
        <f t="shared" si="52"/>
        <v>74</v>
      </c>
      <c r="AC33" s="186">
        <f t="shared" si="53"/>
        <v>64</v>
      </c>
      <c r="AD33" s="186">
        <f t="shared" si="54"/>
        <v>72</v>
      </c>
      <c r="AE33" s="183">
        <f>100-AE32</f>
        <v>67.867221950024501</v>
      </c>
      <c r="AF33" s="186">
        <f t="shared" si="56"/>
        <v>71</v>
      </c>
      <c r="AG33" s="186">
        <f t="shared" si="57"/>
        <v>70</v>
      </c>
      <c r="AH33" s="186">
        <f t="shared" si="58"/>
        <v>55</v>
      </c>
      <c r="AI33" s="186">
        <f t="shared" si="59"/>
        <v>74</v>
      </c>
      <c r="AJ33" s="186">
        <f t="shared" si="60"/>
        <v>74</v>
      </c>
      <c r="AK33" s="187">
        <f t="shared" si="61"/>
        <v>73</v>
      </c>
      <c r="AL33" s="186">
        <f t="shared" si="62"/>
        <v>77</v>
      </c>
      <c r="AM33" s="186">
        <f t="shared" si="63"/>
        <v>51</v>
      </c>
      <c r="AN33" s="186">
        <f t="shared" si="64"/>
        <v>41</v>
      </c>
      <c r="AO33" s="186">
        <f t="shared" si="65"/>
        <v>72</v>
      </c>
      <c r="AP33" s="186">
        <f t="shared" si="66"/>
        <v>76</v>
      </c>
      <c r="AQ33" s="186">
        <f t="shared" si="67"/>
        <v>66</v>
      </c>
      <c r="AR33" s="186">
        <f t="shared" si="68"/>
        <v>52</v>
      </c>
      <c r="AS33" s="184">
        <f t="shared" ref="AS33:CL33" si="71">100-AS32</f>
        <v>58.566765578635014</v>
      </c>
      <c r="AT33" s="183">
        <f t="shared" si="71"/>
        <v>38</v>
      </c>
      <c r="AU33" s="183">
        <f t="shared" si="71"/>
        <v>70</v>
      </c>
      <c r="AV33" s="183">
        <f t="shared" si="71"/>
        <v>65</v>
      </c>
      <c r="AW33" s="183">
        <f t="shared" si="71"/>
        <v>58</v>
      </c>
      <c r="AX33" s="183">
        <f t="shared" si="71"/>
        <v>62</v>
      </c>
      <c r="AY33" s="183">
        <f t="shared" si="71"/>
        <v>65</v>
      </c>
      <c r="AZ33" s="183">
        <f t="shared" si="71"/>
        <v>40</v>
      </c>
      <c r="BA33" s="183">
        <f t="shared" si="71"/>
        <v>61</v>
      </c>
      <c r="BB33" s="183">
        <f t="shared" si="71"/>
        <v>62</v>
      </c>
      <c r="BC33" s="183">
        <f t="shared" si="71"/>
        <v>53</v>
      </c>
      <c r="BD33" s="183">
        <f t="shared" si="71"/>
        <v>66</v>
      </c>
      <c r="BE33" s="183">
        <f t="shared" si="71"/>
        <v>59</v>
      </c>
      <c r="BF33" s="188">
        <f t="shared" si="71"/>
        <v>65</v>
      </c>
      <c r="BG33" s="183">
        <f t="shared" si="71"/>
        <v>84</v>
      </c>
      <c r="BH33" s="183">
        <f t="shared" si="71"/>
        <v>58</v>
      </c>
      <c r="BI33" s="183">
        <f t="shared" si="71"/>
        <v>67</v>
      </c>
      <c r="BJ33" s="183">
        <f t="shared" si="71"/>
        <v>83</v>
      </c>
      <c r="BK33" s="183">
        <f t="shared" si="71"/>
        <v>42</v>
      </c>
      <c r="BL33" s="183">
        <f t="shared" si="71"/>
        <v>37</v>
      </c>
      <c r="BM33" s="183">
        <f t="shared" si="71"/>
        <v>67</v>
      </c>
      <c r="BN33" s="183">
        <f t="shared" si="71"/>
        <v>59</v>
      </c>
      <c r="BO33" s="183">
        <f t="shared" si="71"/>
        <v>50</v>
      </c>
      <c r="BP33" s="183">
        <f t="shared" si="71"/>
        <v>74</v>
      </c>
      <c r="BQ33" s="183">
        <f t="shared" si="71"/>
        <v>69</v>
      </c>
      <c r="BR33" s="188">
        <f t="shared" si="71"/>
        <v>75</v>
      </c>
      <c r="BS33" s="183">
        <f t="shared" si="71"/>
        <v>66</v>
      </c>
      <c r="BT33" s="183">
        <f t="shared" si="71"/>
        <v>68</v>
      </c>
      <c r="BU33" s="183">
        <f t="shared" si="71"/>
        <v>72</v>
      </c>
      <c r="BV33" s="183">
        <f t="shared" si="71"/>
        <v>70</v>
      </c>
      <c r="BW33" s="183">
        <f t="shared" si="71"/>
        <v>74</v>
      </c>
      <c r="BX33" s="183">
        <f t="shared" si="71"/>
        <v>64</v>
      </c>
      <c r="BY33" s="183">
        <f t="shared" si="71"/>
        <v>74</v>
      </c>
      <c r="BZ33" s="183">
        <f t="shared" si="71"/>
        <v>55</v>
      </c>
      <c r="CA33" s="183">
        <f t="shared" si="71"/>
        <v>71</v>
      </c>
      <c r="CB33" s="188">
        <f t="shared" si="71"/>
        <v>73</v>
      </c>
      <c r="CC33" s="183">
        <f t="shared" si="71"/>
        <v>72</v>
      </c>
      <c r="CD33" s="183">
        <f t="shared" si="71"/>
        <v>76</v>
      </c>
      <c r="CE33" s="183">
        <f t="shared" si="71"/>
        <v>77</v>
      </c>
      <c r="CF33" s="183">
        <f t="shared" si="71"/>
        <v>52</v>
      </c>
      <c r="CG33" s="183">
        <f t="shared" si="71"/>
        <v>59</v>
      </c>
      <c r="CH33" s="183">
        <f t="shared" si="71"/>
        <v>51</v>
      </c>
      <c r="CI33" s="183">
        <f t="shared" si="71"/>
        <v>52</v>
      </c>
      <c r="CJ33" s="183">
        <f t="shared" si="71"/>
        <v>41</v>
      </c>
      <c r="CK33" s="184">
        <f t="shared" si="71"/>
        <v>66</v>
      </c>
      <c r="CL33" s="189">
        <f t="shared" si="71"/>
        <v>64</v>
      </c>
    </row>
    <row r="34" spans="1:90">
      <c r="A34" s="93">
        <f>ROWS($A$3:A32)</f>
        <v>30</v>
      </c>
      <c r="B34" s="67" t="s">
        <v>73</v>
      </c>
      <c r="C34" s="241"/>
      <c r="D34" s="332"/>
      <c r="E34" s="333"/>
      <c r="F34" s="156"/>
      <c r="G34" s="177"/>
      <c r="H34" s="177"/>
      <c r="I34" s="178"/>
      <c r="J34" s="181"/>
      <c r="K34" s="156"/>
      <c r="L34" s="177"/>
      <c r="M34" s="177"/>
      <c r="N34" s="177"/>
      <c r="O34" s="177"/>
      <c r="P34" s="177"/>
      <c r="Q34" s="177"/>
      <c r="R34" s="177"/>
      <c r="S34" s="177"/>
      <c r="T34" s="177"/>
      <c r="U34" s="179"/>
      <c r="V34" s="177"/>
      <c r="W34" s="177"/>
      <c r="X34" s="177"/>
      <c r="Y34" s="177"/>
      <c r="Z34" s="177"/>
      <c r="AA34" s="177"/>
      <c r="AB34" s="179"/>
      <c r="AC34" s="177"/>
      <c r="AD34" s="177"/>
      <c r="AE34" s="177"/>
      <c r="AF34" s="177"/>
      <c r="AG34" s="177"/>
      <c r="AH34" s="177"/>
      <c r="AI34" s="177"/>
      <c r="AJ34" s="177"/>
      <c r="AK34" s="179"/>
      <c r="AL34" s="177"/>
      <c r="AM34" s="177"/>
      <c r="AN34" s="177"/>
      <c r="AO34" s="177"/>
      <c r="AP34" s="177"/>
      <c r="AQ34" s="177"/>
      <c r="AR34" s="177"/>
      <c r="AS34" s="178"/>
      <c r="AT34" s="177"/>
      <c r="AU34" s="177"/>
      <c r="AV34" s="177"/>
      <c r="AW34" s="177"/>
      <c r="AX34" s="177"/>
      <c r="AY34" s="177"/>
      <c r="AZ34" s="177"/>
      <c r="BA34" s="177"/>
      <c r="BB34" s="177"/>
      <c r="BC34" s="177"/>
      <c r="BD34" s="177"/>
      <c r="BE34" s="177"/>
      <c r="BF34" s="179"/>
      <c r="BG34" s="177"/>
      <c r="BH34" s="177"/>
      <c r="BI34" s="177"/>
      <c r="BJ34" s="177"/>
      <c r="BK34" s="177"/>
      <c r="BL34" s="177"/>
      <c r="BM34" s="177"/>
      <c r="BN34" s="177"/>
      <c r="BO34" s="177"/>
      <c r="BP34" s="177"/>
      <c r="BQ34" s="177"/>
      <c r="BR34" s="179"/>
      <c r="BS34" s="177"/>
      <c r="BT34" s="177"/>
      <c r="BU34" s="177"/>
      <c r="BV34" s="177"/>
      <c r="BW34" s="177"/>
      <c r="BX34" s="177"/>
      <c r="BY34" s="177"/>
      <c r="BZ34" s="177"/>
      <c r="CA34" s="177"/>
      <c r="CB34" s="179"/>
      <c r="CC34" s="177"/>
      <c r="CD34" s="177"/>
      <c r="CE34" s="177"/>
      <c r="CF34" s="177"/>
      <c r="CG34" s="177"/>
      <c r="CH34" s="177"/>
      <c r="CI34" s="177"/>
      <c r="CJ34" s="177"/>
      <c r="CK34" s="178"/>
      <c r="CL34" s="180"/>
    </row>
    <row r="35" spans="1:90">
      <c r="A35" s="93">
        <f>ROWS($A$3:A33)</f>
        <v>31</v>
      </c>
      <c r="B35" s="106" t="s">
        <v>75</v>
      </c>
      <c r="C35" s="242">
        <v>2007</v>
      </c>
      <c r="D35" s="314" t="s">
        <v>1</v>
      </c>
      <c r="E35" s="316">
        <v>40652</v>
      </c>
      <c r="F35" s="156">
        <v>472458</v>
      </c>
      <c r="G35" s="177">
        <v>203805</v>
      </c>
      <c r="H35" s="177">
        <v>327298</v>
      </c>
      <c r="I35" s="178">
        <v>432124</v>
      </c>
      <c r="J35" s="181"/>
      <c r="K35" s="156">
        <f>BF35</f>
        <v>66103</v>
      </c>
      <c r="L35" s="177">
        <f>AY35</f>
        <v>26231</v>
      </c>
      <c r="M35" s="177">
        <f>BD35</f>
        <v>69254</v>
      </c>
      <c r="N35" s="177">
        <f>AW35</f>
        <v>28454</v>
      </c>
      <c r="O35" s="177">
        <f>BE35</f>
        <v>26360</v>
      </c>
      <c r="P35" s="177">
        <f>'2008'!AZ35+'2008'!BA35</f>
        <v>58983</v>
      </c>
      <c r="Q35" s="177">
        <f>'2008'!AU35</f>
        <v>22578</v>
      </c>
      <c r="R35" s="177">
        <f>AT35+AX35</f>
        <v>35087</v>
      </c>
      <c r="S35" s="177">
        <f>AV35</f>
        <v>19929</v>
      </c>
      <c r="T35" s="177">
        <f t="shared" ref="T35:U39" si="72">BB35</f>
        <v>41956</v>
      </c>
      <c r="U35" s="179">
        <f t="shared" si="72"/>
        <v>77523</v>
      </c>
      <c r="V35" s="177">
        <f>BG35+BJ35</f>
        <v>16620</v>
      </c>
      <c r="W35" s="177">
        <f>BR35</f>
        <v>19529</v>
      </c>
      <c r="X35" s="177">
        <f>BH35+BI35</f>
        <v>40032</v>
      </c>
      <c r="Y35" s="177">
        <f>BK35+BL35+BN35</f>
        <v>43078</v>
      </c>
      <c r="Z35" s="177">
        <f>BM35</f>
        <v>46854</v>
      </c>
      <c r="AA35" s="177">
        <f>BO35+BQ35</f>
        <v>20148</v>
      </c>
      <c r="AB35" s="179">
        <f>BP35</f>
        <v>17544</v>
      </c>
      <c r="AC35" s="177">
        <f>BX35</f>
        <v>39470</v>
      </c>
      <c r="AD35" s="177">
        <f>BU35</f>
        <v>22931</v>
      </c>
      <c r="AE35" s="177">
        <f>BS35+BT35</f>
        <v>53336</v>
      </c>
      <c r="AF35" s="177">
        <f>CA35</f>
        <v>23906</v>
      </c>
      <c r="AG35" s="177">
        <f>BV35</f>
        <v>58801</v>
      </c>
      <c r="AH35" s="177">
        <f>BZ35</f>
        <v>34508</v>
      </c>
      <c r="AI35" s="177">
        <f>BW35</f>
        <v>30854</v>
      </c>
      <c r="AJ35" s="177">
        <f>BY35</f>
        <v>24325</v>
      </c>
      <c r="AK35" s="179">
        <f>CB35</f>
        <v>39167</v>
      </c>
      <c r="AL35" s="177">
        <f>CE35</f>
        <v>34109</v>
      </c>
      <c r="AM35" s="177">
        <f>CH35</f>
        <v>77582</v>
      </c>
      <c r="AN35" s="177">
        <f>CJ35</f>
        <v>87784</v>
      </c>
      <c r="AO35" s="177">
        <f t="shared" ref="AO35:AP39" si="73">CC35</f>
        <v>43348</v>
      </c>
      <c r="AP35" s="177">
        <f t="shared" si="73"/>
        <v>19868</v>
      </c>
      <c r="AQ35" s="177">
        <f>CK35</f>
        <v>55181</v>
      </c>
      <c r="AR35" s="177">
        <f>CI35</f>
        <v>34059</v>
      </c>
      <c r="AS35" s="178">
        <f>CF35+CG35</f>
        <v>80193</v>
      </c>
      <c r="AT35" s="177">
        <v>2542</v>
      </c>
      <c r="AU35" s="177">
        <v>22578</v>
      </c>
      <c r="AV35" s="177">
        <v>19929</v>
      </c>
      <c r="AW35" s="181">
        <v>28454</v>
      </c>
      <c r="AX35" s="177">
        <v>32545</v>
      </c>
      <c r="AY35" s="177">
        <v>26231</v>
      </c>
      <c r="AZ35" s="177">
        <v>4181</v>
      </c>
      <c r="BA35" s="177">
        <v>54802</v>
      </c>
      <c r="BB35" s="177">
        <v>41956</v>
      </c>
      <c r="BC35" s="177">
        <v>77523</v>
      </c>
      <c r="BD35" s="177">
        <v>69254</v>
      </c>
      <c r="BE35" s="177">
        <v>26360</v>
      </c>
      <c r="BF35" s="179">
        <v>66103</v>
      </c>
      <c r="BG35" s="177">
        <v>1745</v>
      </c>
      <c r="BH35" s="177">
        <v>2635</v>
      </c>
      <c r="BI35" s="177">
        <v>37397</v>
      </c>
      <c r="BJ35" s="177">
        <v>14875</v>
      </c>
      <c r="BK35" s="177">
        <v>1838</v>
      </c>
      <c r="BL35" s="177">
        <v>2756</v>
      </c>
      <c r="BM35" s="177">
        <v>46854</v>
      </c>
      <c r="BN35" s="177">
        <v>38484</v>
      </c>
      <c r="BO35" s="177">
        <v>991</v>
      </c>
      <c r="BP35" s="177">
        <v>17544</v>
      </c>
      <c r="BQ35" s="177">
        <v>19157</v>
      </c>
      <c r="BR35" s="179">
        <v>19529</v>
      </c>
      <c r="BS35" s="177">
        <v>3566</v>
      </c>
      <c r="BT35" s="177">
        <v>49770</v>
      </c>
      <c r="BU35" s="177">
        <v>22931</v>
      </c>
      <c r="BV35" s="177">
        <v>58801</v>
      </c>
      <c r="BW35" s="177">
        <v>30854</v>
      </c>
      <c r="BX35" s="177">
        <v>39470</v>
      </c>
      <c r="BY35" s="177">
        <v>24325</v>
      </c>
      <c r="BZ35" s="177">
        <v>34508</v>
      </c>
      <c r="CA35" s="177">
        <v>23906</v>
      </c>
      <c r="CB35" s="179">
        <v>39167</v>
      </c>
      <c r="CC35" s="177">
        <v>43348</v>
      </c>
      <c r="CD35" s="177">
        <v>19868</v>
      </c>
      <c r="CE35" s="177">
        <v>34109</v>
      </c>
      <c r="CF35" s="177">
        <v>4780</v>
      </c>
      <c r="CG35" s="177">
        <v>75413</v>
      </c>
      <c r="CH35" s="177">
        <v>77582</v>
      </c>
      <c r="CI35" s="177">
        <v>34059</v>
      </c>
      <c r="CJ35" s="177">
        <v>87784</v>
      </c>
      <c r="CK35" s="178">
        <v>55181</v>
      </c>
      <c r="CL35" s="180">
        <v>1435682</v>
      </c>
    </row>
    <row r="36" spans="1:90">
      <c r="A36" s="93">
        <f>ROWS($A$3:A34)</f>
        <v>32</v>
      </c>
      <c r="B36" s="106" t="s">
        <v>76</v>
      </c>
      <c r="C36" s="243"/>
      <c r="D36" s="314" t="s">
        <v>1</v>
      </c>
      <c r="E36" s="316">
        <v>40652</v>
      </c>
      <c r="F36" s="156">
        <v>314753</v>
      </c>
      <c r="G36" s="177">
        <v>142086</v>
      </c>
      <c r="H36" s="177">
        <v>144079</v>
      </c>
      <c r="I36" s="178">
        <v>233617</v>
      </c>
      <c r="J36" s="181"/>
      <c r="K36" s="156">
        <f>BF36</f>
        <v>34747</v>
      </c>
      <c r="L36" s="177">
        <f>AY36</f>
        <v>11937</v>
      </c>
      <c r="M36" s="177">
        <f>BD36</f>
        <v>60037</v>
      </c>
      <c r="N36" s="177">
        <f>AW36</f>
        <v>12710</v>
      </c>
      <c r="O36" s="177">
        <f>BE36</f>
        <v>16952</v>
      </c>
      <c r="P36" s="177">
        <f>'2008'!AZ36+'2008'!BA36</f>
        <v>44854</v>
      </c>
      <c r="Q36" s="177">
        <f>'2008'!AU36</f>
        <v>15628</v>
      </c>
      <c r="R36" s="177">
        <f>AT36+AX36</f>
        <v>26155</v>
      </c>
      <c r="S36" s="177">
        <f>AV36</f>
        <v>10216</v>
      </c>
      <c r="T36" s="177">
        <f t="shared" si="72"/>
        <v>30934</v>
      </c>
      <c r="U36" s="179">
        <f t="shared" si="72"/>
        <v>50583</v>
      </c>
      <c r="V36" s="177">
        <f>BG36+BJ36</f>
        <v>10522</v>
      </c>
      <c r="W36" s="177">
        <f>BR36</f>
        <v>9607</v>
      </c>
      <c r="X36" s="177">
        <f>BH36+BI36</f>
        <v>31786</v>
      </c>
      <c r="Y36" s="177">
        <f>BK36+BL36+BN36</f>
        <v>34032</v>
      </c>
      <c r="Z36" s="177">
        <f>BM36</f>
        <v>35126</v>
      </c>
      <c r="AA36" s="177">
        <f>BO36+BQ36</f>
        <v>12405</v>
      </c>
      <c r="AB36" s="179">
        <f>BP36</f>
        <v>8608</v>
      </c>
      <c r="AC36" s="177">
        <f>BX36</f>
        <v>15635</v>
      </c>
      <c r="AD36" s="177">
        <f>BU36</f>
        <v>10322</v>
      </c>
      <c r="AE36" s="177">
        <f>BS36+BT36</f>
        <v>21260</v>
      </c>
      <c r="AF36" s="177">
        <f>CA36</f>
        <v>7458</v>
      </c>
      <c r="AG36" s="177">
        <f>BV36</f>
        <v>28247</v>
      </c>
      <c r="AH36" s="177">
        <f>BZ36</f>
        <v>19618</v>
      </c>
      <c r="AI36" s="177">
        <f>BW36</f>
        <v>16995</v>
      </c>
      <c r="AJ36" s="177">
        <f>BY36</f>
        <v>9013</v>
      </c>
      <c r="AK36" s="179">
        <f>CB36</f>
        <v>15531</v>
      </c>
      <c r="AL36" s="177">
        <f>CE36</f>
        <v>13452</v>
      </c>
      <c r="AM36" s="177">
        <f>CH36</f>
        <v>51712</v>
      </c>
      <c r="AN36" s="177">
        <f>CJ36</f>
        <v>25547</v>
      </c>
      <c r="AO36" s="177">
        <f t="shared" si="73"/>
        <v>20487</v>
      </c>
      <c r="AP36" s="177">
        <f t="shared" si="73"/>
        <v>13585</v>
      </c>
      <c r="AQ36" s="177">
        <f>CK36</f>
        <v>34998</v>
      </c>
      <c r="AR36" s="177">
        <f>CI36</f>
        <v>13793</v>
      </c>
      <c r="AS36" s="178">
        <f>CF36+CG36</f>
        <v>60043</v>
      </c>
      <c r="AT36" s="177">
        <v>1538</v>
      </c>
      <c r="AU36" s="181">
        <v>15628</v>
      </c>
      <c r="AV36" s="181">
        <v>10216</v>
      </c>
      <c r="AW36" s="181">
        <v>12710</v>
      </c>
      <c r="AX36" s="181">
        <v>24617</v>
      </c>
      <c r="AY36" s="177">
        <v>11937</v>
      </c>
      <c r="AZ36" s="177">
        <v>3237</v>
      </c>
      <c r="BA36" s="177">
        <v>41617</v>
      </c>
      <c r="BB36" s="177">
        <v>30934</v>
      </c>
      <c r="BC36" s="177">
        <v>50583</v>
      </c>
      <c r="BD36" s="177">
        <v>60037</v>
      </c>
      <c r="BE36" s="177">
        <v>16952</v>
      </c>
      <c r="BF36" s="179">
        <v>34747</v>
      </c>
      <c r="BG36" s="177">
        <v>616</v>
      </c>
      <c r="BH36" s="177">
        <v>2065</v>
      </c>
      <c r="BI36" s="177">
        <v>29721</v>
      </c>
      <c r="BJ36" s="177">
        <v>9906</v>
      </c>
      <c r="BK36" s="177">
        <v>1524</v>
      </c>
      <c r="BL36" s="177">
        <v>2382</v>
      </c>
      <c r="BM36" s="177">
        <v>35126</v>
      </c>
      <c r="BN36" s="177">
        <v>30126</v>
      </c>
      <c r="BO36" s="177">
        <v>497</v>
      </c>
      <c r="BP36" s="177">
        <v>8608</v>
      </c>
      <c r="BQ36" s="177">
        <v>11908</v>
      </c>
      <c r="BR36" s="179">
        <v>9607</v>
      </c>
      <c r="BS36" s="177">
        <v>1630</v>
      </c>
      <c r="BT36" s="177">
        <v>19630</v>
      </c>
      <c r="BU36" s="177">
        <v>10322</v>
      </c>
      <c r="BV36" s="177">
        <v>28247</v>
      </c>
      <c r="BW36" s="177">
        <v>16995</v>
      </c>
      <c r="BX36" s="177">
        <v>15635</v>
      </c>
      <c r="BY36" s="177">
        <v>9013</v>
      </c>
      <c r="BZ36" s="177">
        <v>19618</v>
      </c>
      <c r="CA36" s="177">
        <v>7458</v>
      </c>
      <c r="CB36" s="179">
        <v>15531</v>
      </c>
      <c r="CC36" s="177">
        <v>20487</v>
      </c>
      <c r="CD36" s="177">
        <v>13585</v>
      </c>
      <c r="CE36" s="177">
        <v>13452</v>
      </c>
      <c r="CF36" s="177">
        <v>4083</v>
      </c>
      <c r="CG36" s="177">
        <v>55960</v>
      </c>
      <c r="CH36" s="177">
        <v>51712</v>
      </c>
      <c r="CI36" s="177">
        <v>13793</v>
      </c>
      <c r="CJ36" s="177">
        <v>25547</v>
      </c>
      <c r="CK36" s="178">
        <v>34998</v>
      </c>
      <c r="CL36" s="180">
        <v>834535</v>
      </c>
    </row>
    <row r="37" spans="1:90">
      <c r="A37" s="93">
        <f>ROWS($A$3:A35)</f>
        <v>33</v>
      </c>
      <c r="B37" s="106" t="s">
        <v>7</v>
      </c>
      <c r="C37" s="243"/>
      <c r="D37" s="314" t="s">
        <v>1</v>
      </c>
      <c r="E37" s="316">
        <v>40652</v>
      </c>
      <c r="F37" s="156">
        <v>142250</v>
      </c>
      <c r="G37" s="177">
        <v>57320</v>
      </c>
      <c r="H37" s="177">
        <v>163299</v>
      </c>
      <c r="I37" s="178">
        <v>188526</v>
      </c>
      <c r="J37" s="181"/>
      <c r="K37" s="156">
        <f>BF37</f>
        <v>30937</v>
      </c>
      <c r="L37" s="177">
        <f>AY37</f>
        <v>12581</v>
      </c>
      <c r="M37" s="177">
        <f>BD37</f>
        <v>8233</v>
      </c>
      <c r="N37" s="177">
        <f>AW37</f>
        <v>15586</v>
      </c>
      <c r="O37" s="177">
        <f>BE37</f>
        <v>9380</v>
      </c>
      <c r="P37" s="177">
        <f>'2008'!AZ37+'2008'!BA37</f>
        <v>7091</v>
      </c>
      <c r="Q37" s="177">
        <f>'2008'!AU37</f>
        <v>6801</v>
      </c>
      <c r="R37" s="177">
        <f>AT37+AX37</f>
        <v>6194</v>
      </c>
      <c r="S37" s="177">
        <f>AV37</f>
        <v>9319</v>
      </c>
      <c r="T37" s="177">
        <f t="shared" si="72"/>
        <v>9393</v>
      </c>
      <c r="U37" s="179">
        <f t="shared" si="72"/>
        <v>26735</v>
      </c>
      <c r="V37" s="177">
        <f>BG37+BJ37</f>
        <v>4915</v>
      </c>
      <c r="W37" s="177">
        <f>BR37</f>
        <v>9893</v>
      </c>
      <c r="X37" s="177">
        <f>BH37+BI37</f>
        <v>7208</v>
      </c>
      <c r="Y37" s="177">
        <f>BK37+BL37+BN37</f>
        <v>7791</v>
      </c>
      <c r="Z37" s="177">
        <f>BM37</f>
        <v>11151</v>
      </c>
      <c r="AA37" s="177">
        <f>BO37+BQ37</f>
        <v>7491</v>
      </c>
      <c r="AB37" s="179">
        <f>BP37</f>
        <v>8871</v>
      </c>
      <c r="AC37" s="177">
        <f>BX37</f>
        <v>23796</v>
      </c>
      <c r="AD37" s="177">
        <f>BU37</f>
        <v>10031</v>
      </c>
      <c r="AE37" s="177">
        <f>BS37+BT37</f>
        <v>25230</v>
      </c>
      <c r="AF37" s="177">
        <f>CA37</f>
        <v>14975</v>
      </c>
      <c r="AG37" s="177">
        <f>BV37</f>
        <v>23031</v>
      </c>
      <c r="AH37" s="177">
        <f>BZ37</f>
        <v>13778</v>
      </c>
      <c r="AI37" s="177">
        <f>BW37</f>
        <v>13818</v>
      </c>
      <c r="AJ37" s="177">
        <f>BY37</f>
        <v>15288</v>
      </c>
      <c r="AK37" s="179">
        <f>CB37</f>
        <v>23352</v>
      </c>
      <c r="AL37" s="177">
        <f>CE37</f>
        <v>20487</v>
      </c>
      <c r="AM37" s="177">
        <f>CH37</f>
        <v>25695</v>
      </c>
      <c r="AN37" s="177">
        <f>CJ37</f>
        <v>60769</v>
      </c>
      <c r="AO37" s="177">
        <f t="shared" si="73"/>
        <v>22679</v>
      </c>
      <c r="AP37" s="177">
        <f t="shared" si="73"/>
        <v>6198</v>
      </c>
      <c r="AQ37" s="177">
        <f>CK37</f>
        <v>20091</v>
      </c>
      <c r="AR37" s="177">
        <f>CI37</f>
        <v>12616</v>
      </c>
      <c r="AS37" s="178">
        <f>CF37+CG37</f>
        <v>19991</v>
      </c>
      <c r="AT37" s="181">
        <v>540</v>
      </c>
      <c r="AU37" s="181">
        <v>6801</v>
      </c>
      <c r="AV37" s="181">
        <v>9319</v>
      </c>
      <c r="AW37" s="181">
        <v>15586</v>
      </c>
      <c r="AX37" s="181">
        <v>5654</v>
      </c>
      <c r="AY37" s="177">
        <v>12581</v>
      </c>
      <c r="AZ37" s="177">
        <v>217</v>
      </c>
      <c r="BA37" s="177">
        <v>6874</v>
      </c>
      <c r="BB37" s="177">
        <v>9393</v>
      </c>
      <c r="BC37" s="177">
        <v>26735</v>
      </c>
      <c r="BD37" s="177">
        <v>8233</v>
      </c>
      <c r="BE37" s="177">
        <v>9380</v>
      </c>
      <c r="BF37" s="179">
        <v>30937</v>
      </c>
      <c r="BG37" s="177">
        <v>828</v>
      </c>
      <c r="BH37" s="177">
        <v>497</v>
      </c>
      <c r="BI37" s="177">
        <v>6711</v>
      </c>
      <c r="BJ37" s="177">
        <v>4087</v>
      </c>
      <c r="BK37" s="177">
        <v>230</v>
      </c>
      <c r="BL37" s="177">
        <v>363</v>
      </c>
      <c r="BM37" s="177">
        <v>11151</v>
      </c>
      <c r="BN37" s="177">
        <v>7198</v>
      </c>
      <c r="BO37" s="177">
        <v>493</v>
      </c>
      <c r="BP37" s="177">
        <v>8871</v>
      </c>
      <c r="BQ37" s="177">
        <v>6998</v>
      </c>
      <c r="BR37" s="179">
        <v>9893</v>
      </c>
      <c r="BS37" s="177">
        <v>1108</v>
      </c>
      <c r="BT37" s="177">
        <v>24122</v>
      </c>
      <c r="BU37" s="177">
        <v>10031</v>
      </c>
      <c r="BV37" s="177">
        <v>23031</v>
      </c>
      <c r="BW37" s="177">
        <v>13818</v>
      </c>
      <c r="BX37" s="177">
        <v>23796</v>
      </c>
      <c r="BY37" s="177">
        <v>15288</v>
      </c>
      <c r="BZ37" s="177">
        <v>13778</v>
      </c>
      <c r="CA37" s="177">
        <v>14975</v>
      </c>
      <c r="CB37" s="179">
        <v>23352</v>
      </c>
      <c r="CC37" s="177">
        <v>22679</v>
      </c>
      <c r="CD37" s="177">
        <v>6198</v>
      </c>
      <c r="CE37" s="177">
        <v>20487</v>
      </c>
      <c r="CF37" s="177">
        <v>674</v>
      </c>
      <c r="CG37" s="177">
        <v>19317</v>
      </c>
      <c r="CH37" s="177">
        <v>25695</v>
      </c>
      <c r="CI37" s="177">
        <v>12616</v>
      </c>
      <c r="CJ37" s="177">
        <v>60769</v>
      </c>
      <c r="CK37" s="178">
        <v>20091</v>
      </c>
      <c r="CL37" s="180">
        <v>551397</v>
      </c>
    </row>
    <row r="38" spans="1:90">
      <c r="A38" s="93">
        <f>ROWS($A$3:A36)</f>
        <v>34</v>
      </c>
      <c r="B38" s="106" t="s">
        <v>263</v>
      </c>
      <c r="C38" s="243"/>
      <c r="D38" s="314" t="s">
        <v>1</v>
      </c>
      <c r="E38" s="316">
        <v>40652</v>
      </c>
      <c r="F38" s="156">
        <v>3377</v>
      </c>
      <c r="G38" s="177">
        <v>1335</v>
      </c>
      <c r="H38" s="177">
        <v>7922</v>
      </c>
      <c r="I38" s="178">
        <v>8701</v>
      </c>
      <c r="J38" s="181"/>
      <c r="K38" s="156">
        <f>BF38</f>
        <v>18</v>
      </c>
      <c r="L38" s="177">
        <f>AY38</f>
        <v>524</v>
      </c>
      <c r="M38" s="177">
        <f>BD38</f>
        <v>86</v>
      </c>
      <c r="N38" s="177">
        <f>AW38</f>
        <v>100</v>
      </c>
      <c r="O38" s="177">
        <f>BE38</f>
        <v>2</v>
      </c>
      <c r="P38" s="177">
        <f>'2008'!AZ38+'2008'!BA38</f>
        <v>1022</v>
      </c>
      <c r="Q38" s="177">
        <f>'2008'!AU38</f>
        <v>96</v>
      </c>
      <c r="R38" s="177">
        <f>AT38+AX38</f>
        <v>501</v>
      </c>
      <c r="S38" s="177">
        <f>AV38</f>
        <v>167</v>
      </c>
      <c r="T38" s="177">
        <f t="shared" si="72"/>
        <v>738</v>
      </c>
      <c r="U38" s="179">
        <f t="shared" si="72"/>
        <v>123</v>
      </c>
      <c r="V38" s="177">
        <f>BG38+BJ38</f>
        <v>507</v>
      </c>
      <c r="W38" s="177">
        <f>BR38</f>
        <v>2</v>
      </c>
      <c r="X38" s="177">
        <f>BH38+BI38</f>
        <v>249</v>
      </c>
      <c r="Y38" s="177">
        <f>BK38+BN38</f>
        <v>424</v>
      </c>
      <c r="Z38" s="177">
        <f>BM38</f>
        <v>121</v>
      </c>
      <c r="AA38" s="177">
        <f>BQ38</f>
        <v>30</v>
      </c>
      <c r="AB38" s="179">
        <f>BP38</f>
        <v>2</v>
      </c>
      <c r="AC38" s="177">
        <f>BX38</f>
        <v>17</v>
      </c>
      <c r="AD38" s="177">
        <f>BU38</f>
        <v>668</v>
      </c>
      <c r="AE38" s="177">
        <f>BS38+BT38</f>
        <v>942</v>
      </c>
      <c r="AF38" s="177">
        <f>CA38</f>
        <v>675</v>
      </c>
      <c r="AG38" s="177">
        <f>BV38</f>
        <v>4487</v>
      </c>
      <c r="AH38" s="177">
        <f>BZ38</f>
        <v>960</v>
      </c>
      <c r="AI38" s="177">
        <f>BW38</f>
        <v>12</v>
      </c>
      <c r="AJ38" s="177">
        <f>BY38</f>
        <v>1</v>
      </c>
      <c r="AK38" s="179">
        <f>CB38</f>
        <v>160</v>
      </c>
      <c r="AL38" s="177">
        <f>CE38</f>
        <v>24</v>
      </c>
      <c r="AM38" s="177">
        <f>CH38</f>
        <v>43</v>
      </c>
      <c r="AN38" s="177">
        <f>CJ38</f>
        <v>1312</v>
      </c>
      <c r="AO38" s="177">
        <f t="shared" si="73"/>
        <v>88</v>
      </c>
      <c r="AP38" s="177">
        <f t="shared" si="73"/>
        <v>63</v>
      </c>
      <c r="AQ38" s="177">
        <f>CK38</f>
        <v>34</v>
      </c>
      <c r="AR38" s="177">
        <f>CI38</f>
        <v>7070</v>
      </c>
      <c r="AS38" s="178">
        <f>CF38+CG38</f>
        <v>67</v>
      </c>
      <c r="AT38" s="181">
        <v>71</v>
      </c>
      <c r="AU38" s="181">
        <v>96</v>
      </c>
      <c r="AV38" s="181">
        <v>167</v>
      </c>
      <c r="AW38" s="181">
        <v>100</v>
      </c>
      <c r="AX38" s="181">
        <v>430</v>
      </c>
      <c r="AY38" s="177">
        <v>524</v>
      </c>
      <c r="AZ38" s="177">
        <v>53</v>
      </c>
      <c r="BA38" s="177">
        <v>969</v>
      </c>
      <c r="BB38" s="177">
        <v>738</v>
      </c>
      <c r="BC38" s="177">
        <v>123</v>
      </c>
      <c r="BD38" s="177">
        <v>86</v>
      </c>
      <c r="BE38" s="177">
        <v>2</v>
      </c>
      <c r="BF38" s="179">
        <v>18</v>
      </c>
      <c r="BG38" s="177">
        <v>45</v>
      </c>
      <c r="BH38" s="177">
        <v>46</v>
      </c>
      <c r="BI38" s="177">
        <v>203</v>
      </c>
      <c r="BJ38" s="177">
        <v>462</v>
      </c>
      <c r="BK38" s="177">
        <v>23</v>
      </c>
      <c r="BL38" s="177" t="s">
        <v>252</v>
      </c>
      <c r="BM38" s="177">
        <v>121</v>
      </c>
      <c r="BN38" s="177">
        <v>401</v>
      </c>
      <c r="BO38" s="177" t="s">
        <v>252</v>
      </c>
      <c r="BP38" s="177">
        <v>2</v>
      </c>
      <c r="BQ38" s="177">
        <v>30</v>
      </c>
      <c r="BR38" s="179">
        <v>2</v>
      </c>
      <c r="BS38" s="177">
        <v>92</v>
      </c>
      <c r="BT38" s="177">
        <v>850</v>
      </c>
      <c r="BU38" s="177">
        <v>668</v>
      </c>
      <c r="BV38" s="177">
        <v>4487</v>
      </c>
      <c r="BW38" s="177">
        <v>12</v>
      </c>
      <c r="BX38" s="177">
        <v>17</v>
      </c>
      <c r="BY38" s="177">
        <v>1</v>
      </c>
      <c r="BZ38" s="177">
        <v>960</v>
      </c>
      <c r="CA38" s="177">
        <v>675</v>
      </c>
      <c r="CB38" s="179">
        <v>160</v>
      </c>
      <c r="CC38" s="177">
        <v>88</v>
      </c>
      <c r="CD38" s="177">
        <v>63</v>
      </c>
      <c r="CE38" s="177">
        <v>24</v>
      </c>
      <c r="CF38" s="177">
        <v>7</v>
      </c>
      <c r="CG38" s="177">
        <v>60</v>
      </c>
      <c r="CH38" s="177">
        <v>43</v>
      </c>
      <c r="CI38" s="177">
        <v>7070</v>
      </c>
      <c r="CJ38" s="177">
        <v>1312</v>
      </c>
      <c r="CK38" s="178">
        <v>34</v>
      </c>
      <c r="CL38" s="180">
        <v>21343</v>
      </c>
    </row>
    <row r="39" spans="1:90">
      <c r="A39" s="93">
        <f>ROWS($A$3:A37)</f>
        <v>35</v>
      </c>
      <c r="B39" s="106" t="s">
        <v>264</v>
      </c>
      <c r="C39" s="243"/>
      <c r="D39" s="314" t="s">
        <v>1</v>
      </c>
      <c r="E39" s="316">
        <v>40652</v>
      </c>
      <c r="F39" s="156">
        <v>10436</v>
      </c>
      <c r="G39" s="177">
        <v>2082</v>
      </c>
      <c r="H39" s="177">
        <v>10864</v>
      </c>
      <c r="I39" s="178">
        <v>537</v>
      </c>
      <c r="J39" s="181"/>
      <c r="K39" s="156" t="str">
        <f>BF39</f>
        <v>*</v>
      </c>
      <c r="L39" s="177">
        <f>AY39</f>
        <v>1049</v>
      </c>
      <c r="M39" s="177">
        <f>BD39</f>
        <v>762</v>
      </c>
      <c r="N39" s="177" t="str">
        <f>AW39</f>
        <v>*</v>
      </c>
      <c r="O39" s="177">
        <f>BE39</f>
        <v>0</v>
      </c>
      <c r="P39" s="177">
        <f>'2008'!AZ39+'2008'!BA39</f>
        <v>5675</v>
      </c>
      <c r="Q39" s="177">
        <f>'2008'!AU39</f>
        <v>3</v>
      </c>
      <c r="R39" s="177">
        <f>AT39+AX39</f>
        <v>2049</v>
      </c>
      <c r="S39" s="177">
        <f>AV39</f>
        <v>118</v>
      </c>
      <c r="T39" s="177">
        <f t="shared" si="72"/>
        <v>780</v>
      </c>
      <c r="U39" s="179" t="str">
        <f t="shared" si="72"/>
        <v>*</v>
      </c>
      <c r="V39" s="177">
        <f>BG39+BJ39</f>
        <v>530</v>
      </c>
      <c r="W39" s="177" t="str">
        <f>BR39</f>
        <v>*</v>
      </c>
      <c r="X39" s="177">
        <f>BH39+BI39</f>
        <v>712</v>
      </c>
      <c r="Y39" s="177">
        <f>BK39+BN39</f>
        <v>643</v>
      </c>
      <c r="Z39" s="177">
        <f>BM39</f>
        <v>10</v>
      </c>
      <c r="AA39" s="177">
        <f>BQ39</f>
        <v>187</v>
      </c>
      <c r="AB39" s="179">
        <f>BP39</f>
        <v>0</v>
      </c>
      <c r="AC39" s="177">
        <f>BX39</f>
        <v>0</v>
      </c>
      <c r="AD39" s="177">
        <f>BU39</f>
        <v>1793</v>
      </c>
      <c r="AE39" s="177">
        <f>BS39+BT39</f>
        <v>5790</v>
      </c>
      <c r="AF39" s="177">
        <f>CA39</f>
        <v>723</v>
      </c>
      <c r="AG39" s="177">
        <f>BV39</f>
        <v>2448</v>
      </c>
      <c r="AH39" s="177">
        <f>BZ39</f>
        <v>54</v>
      </c>
      <c r="AI39" s="177">
        <f>BW39</f>
        <v>0</v>
      </c>
      <c r="AJ39" s="177">
        <f>BY39</f>
        <v>0</v>
      </c>
      <c r="AK39" s="179">
        <f>CB39</f>
        <v>56</v>
      </c>
      <c r="AL39" s="177">
        <f>CE39</f>
        <v>0</v>
      </c>
      <c r="AM39" s="177">
        <f>CH39</f>
        <v>0</v>
      </c>
      <c r="AN39" s="177" t="str">
        <f>CJ39</f>
        <v>*</v>
      </c>
      <c r="AO39" s="177">
        <f t="shared" si="73"/>
        <v>18</v>
      </c>
      <c r="AP39" s="177">
        <f t="shared" si="73"/>
        <v>9</v>
      </c>
      <c r="AQ39" s="177">
        <f>CK39</f>
        <v>0</v>
      </c>
      <c r="AR39" s="177">
        <f>CI39</f>
        <v>510</v>
      </c>
      <c r="AS39" s="178" t="str">
        <f>CG39</f>
        <v>*</v>
      </c>
      <c r="AT39" s="181">
        <v>358</v>
      </c>
      <c r="AU39" s="181">
        <v>3</v>
      </c>
      <c r="AV39" s="181">
        <v>118</v>
      </c>
      <c r="AW39" s="177" t="s">
        <v>252</v>
      </c>
      <c r="AX39" s="181">
        <v>1691</v>
      </c>
      <c r="AY39" s="177">
        <v>1049</v>
      </c>
      <c r="AZ39" s="177">
        <v>626</v>
      </c>
      <c r="BA39" s="177">
        <v>5049</v>
      </c>
      <c r="BB39" s="177">
        <v>780</v>
      </c>
      <c r="BC39" s="177" t="s">
        <v>252</v>
      </c>
      <c r="BD39" s="177">
        <v>762</v>
      </c>
      <c r="BE39" s="177">
        <v>0</v>
      </c>
      <c r="BF39" s="179" t="s">
        <v>252</v>
      </c>
      <c r="BG39" s="177">
        <v>195</v>
      </c>
      <c r="BH39" s="177">
        <v>9</v>
      </c>
      <c r="BI39" s="177">
        <v>703</v>
      </c>
      <c r="BJ39" s="177">
        <v>335</v>
      </c>
      <c r="BK39" s="177">
        <v>53</v>
      </c>
      <c r="BL39" s="177" t="s">
        <v>252</v>
      </c>
      <c r="BM39" s="177">
        <v>10</v>
      </c>
      <c r="BN39" s="177">
        <v>590</v>
      </c>
      <c r="BO39" s="177">
        <v>0</v>
      </c>
      <c r="BP39" s="177">
        <v>0</v>
      </c>
      <c r="BQ39" s="177">
        <v>187</v>
      </c>
      <c r="BR39" s="179" t="s">
        <v>252</v>
      </c>
      <c r="BS39" s="177">
        <v>712</v>
      </c>
      <c r="BT39" s="177">
        <v>5078</v>
      </c>
      <c r="BU39" s="177">
        <v>1793</v>
      </c>
      <c r="BV39" s="177">
        <v>2448</v>
      </c>
      <c r="BW39" s="177">
        <v>0</v>
      </c>
      <c r="BX39" s="177">
        <v>0</v>
      </c>
      <c r="BY39" s="177">
        <v>0</v>
      </c>
      <c r="BZ39" s="177">
        <v>54</v>
      </c>
      <c r="CA39" s="177">
        <v>723</v>
      </c>
      <c r="CB39" s="179">
        <v>56</v>
      </c>
      <c r="CC39" s="177">
        <v>18</v>
      </c>
      <c r="CD39" s="177">
        <v>9</v>
      </c>
      <c r="CE39" s="177">
        <v>0</v>
      </c>
      <c r="CF39" s="177" t="s">
        <v>252</v>
      </c>
      <c r="CG39" s="177" t="s">
        <v>252</v>
      </c>
      <c r="CH39" s="177">
        <v>0</v>
      </c>
      <c r="CI39" s="177">
        <v>510</v>
      </c>
      <c r="CJ39" s="177" t="s">
        <v>252</v>
      </c>
      <c r="CK39" s="178">
        <v>0</v>
      </c>
      <c r="CL39" s="180">
        <v>23923</v>
      </c>
    </row>
    <row r="40" spans="1:90">
      <c r="A40" s="93">
        <f>ROWS($A$3:A38)</f>
        <v>36</v>
      </c>
      <c r="B40" s="67" t="s">
        <v>109</v>
      </c>
      <c r="C40" s="243"/>
      <c r="D40" s="314"/>
      <c r="E40" s="333"/>
      <c r="F40" s="156"/>
      <c r="G40" s="177"/>
      <c r="H40" s="177"/>
      <c r="I40" s="178"/>
      <c r="J40" s="181"/>
      <c r="K40" s="156"/>
      <c r="L40" s="177"/>
      <c r="M40" s="177"/>
      <c r="N40" s="177"/>
      <c r="O40" s="177"/>
      <c r="P40" s="177"/>
      <c r="Q40" s="177"/>
      <c r="R40" s="177"/>
      <c r="S40" s="177"/>
      <c r="T40" s="177"/>
      <c r="U40" s="179"/>
      <c r="V40" s="177"/>
      <c r="W40" s="177"/>
      <c r="X40" s="177"/>
      <c r="Y40" s="177"/>
      <c r="Z40" s="177"/>
      <c r="AA40" s="177"/>
      <c r="AB40" s="179"/>
      <c r="AC40" s="177"/>
      <c r="AD40" s="177"/>
      <c r="AE40" s="177"/>
      <c r="AF40" s="177"/>
      <c r="AG40" s="177"/>
      <c r="AH40" s="177"/>
      <c r="AI40" s="177"/>
      <c r="AJ40" s="177"/>
      <c r="AK40" s="179"/>
      <c r="AL40" s="177"/>
      <c r="AM40" s="177"/>
      <c r="AN40" s="177"/>
      <c r="AO40" s="177"/>
      <c r="AP40" s="177"/>
      <c r="AQ40" s="177"/>
      <c r="AR40" s="177"/>
      <c r="AS40" s="178"/>
      <c r="AT40" s="177"/>
      <c r="AU40" s="177"/>
      <c r="AV40" s="177"/>
      <c r="AW40" s="177"/>
      <c r="AX40" s="177"/>
      <c r="AY40" s="177"/>
      <c r="AZ40" s="177"/>
      <c r="BA40" s="177"/>
      <c r="BB40" s="177"/>
      <c r="BC40" s="177"/>
      <c r="BD40" s="177"/>
      <c r="BE40" s="177"/>
      <c r="BF40" s="179"/>
      <c r="BG40" s="177"/>
      <c r="BH40" s="177"/>
      <c r="BI40" s="177"/>
      <c r="BJ40" s="177"/>
      <c r="BK40" s="177"/>
      <c r="BL40" s="177"/>
      <c r="BM40" s="177"/>
      <c r="BN40" s="177"/>
      <c r="BO40" s="177"/>
      <c r="BP40" s="177"/>
      <c r="BQ40" s="177"/>
      <c r="BR40" s="179"/>
      <c r="BS40" s="177"/>
      <c r="BT40" s="177"/>
      <c r="BU40" s="177"/>
      <c r="BV40" s="177"/>
      <c r="BW40" s="177"/>
      <c r="BX40" s="177"/>
      <c r="BY40" s="177"/>
      <c r="BZ40" s="177"/>
      <c r="CA40" s="177"/>
      <c r="CB40" s="179"/>
      <c r="CC40" s="177"/>
      <c r="CD40" s="177"/>
      <c r="CE40" s="177"/>
      <c r="CF40" s="177"/>
      <c r="CG40" s="177"/>
      <c r="CH40" s="177"/>
      <c r="CI40" s="177"/>
      <c r="CJ40" s="177"/>
      <c r="CK40" s="178"/>
      <c r="CL40" s="180"/>
    </row>
    <row r="41" spans="1:90">
      <c r="A41" s="93">
        <f>ROWS($A$3:A39)</f>
        <v>37</v>
      </c>
      <c r="B41" s="106" t="s">
        <v>78</v>
      </c>
      <c r="C41" s="242">
        <v>2008</v>
      </c>
      <c r="D41" s="314" t="s">
        <v>8</v>
      </c>
      <c r="E41" s="316">
        <v>40697</v>
      </c>
      <c r="F41" s="156">
        <v>315601</v>
      </c>
      <c r="G41" s="177">
        <v>85472</v>
      </c>
      <c r="H41" s="177">
        <v>231434</v>
      </c>
      <c r="I41" s="178">
        <v>418813</v>
      </c>
      <c r="J41" s="181"/>
      <c r="K41" s="156">
        <f t="shared" ref="K41:K54" si="74">BF41</f>
        <v>76619</v>
      </c>
      <c r="L41" s="177">
        <f t="shared" ref="L41:L54" si="75">AY41</f>
        <v>22454</v>
      </c>
      <c r="M41" s="177">
        <f t="shared" ref="M41:M54" si="76">BD41</f>
        <v>21355</v>
      </c>
      <c r="N41" s="177">
        <f t="shared" ref="N41:N54" si="77">AW41</f>
        <v>31238</v>
      </c>
      <c r="O41" s="177">
        <f t="shared" ref="O41:O54" si="78">BE41</f>
        <v>23670</v>
      </c>
      <c r="P41" s="177">
        <f>AZ41+BA41</f>
        <v>14095</v>
      </c>
      <c r="Q41" s="177">
        <f>'2008'!AU41</f>
        <v>9277</v>
      </c>
      <c r="R41" s="177">
        <f>AT41+AX41</f>
        <v>14752</v>
      </c>
      <c r="S41" s="177">
        <f t="shared" ref="S41:S54" si="79">AV41</f>
        <v>10064</v>
      </c>
      <c r="T41" s="177">
        <f t="shared" ref="T41:T54" si="80">BB41</f>
        <v>23201</v>
      </c>
      <c r="U41" s="179">
        <f t="shared" ref="U41:U54" si="81">BC41</f>
        <v>68876</v>
      </c>
      <c r="V41" s="177">
        <f>BG41+BJ41</f>
        <v>3045</v>
      </c>
      <c r="W41" s="177">
        <f t="shared" ref="W41:W54" si="82">BR41</f>
        <v>13004</v>
      </c>
      <c r="X41" s="177">
        <f>BH41+BI41</f>
        <v>6487</v>
      </c>
      <c r="Y41" s="177">
        <f>BK41+BL41+BN41</f>
        <v>13558</v>
      </c>
      <c r="Z41" s="177">
        <f t="shared" ref="Z41:Z54" si="83">BM41</f>
        <v>25716</v>
      </c>
      <c r="AA41" s="177">
        <f>BO41+BQ41</f>
        <v>11161</v>
      </c>
      <c r="AB41" s="179">
        <f t="shared" ref="AB41:AB54" si="84">BP41</f>
        <v>12501</v>
      </c>
      <c r="AC41" s="177">
        <f t="shared" ref="AC41:AC54" si="85">BX41</f>
        <v>33474</v>
      </c>
      <c r="AD41" s="177">
        <f t="shared" ref="AD41:AD54" si="86">BU41</f>
        <v>16281</v>
      </c>
      <c r="AE41" s="177">
        <f>BS41+BT41</f>
        <v>31928</v>
      </c>
      <c r="AF41" s="177">
        <f t="shared" ref="AF41:AF54" si="87">CA41</f>
        <v>16671</v>
      </c>
      <c r="AG41" s="177">
        <f t="shared" ref="AG41:AG54" si="88">BV41</f>
        <v>33483</v>
      </c>
      <c r="AH41" s="177">
        <f t="shared" ref="AH41:AH54" si="89">BZ41</f>
        <v>26381</v>
      </c>
      <c r="AI41" s="177">
        <f t="shared" ref="AI41:AI54" si="90">BW41</f>
        <v>19843</v>
      </c>
      <c r="AJ41" s="177">
        <f t="shared" ref="AJ41:AJ54" si="91">BY41</f>
        <v>16492</v>
      </c>
      <c r="AK41" s="179">
        <f t="shared" ref="AK41:AK54" si="92">CB41</f>
        <v>36881</v>
      </c>
      <c r="AL41" s="177">
        <f t="shared" ref="AL41:AL54" si="93">CE41</f>
        <v>14066</v>
      </c>
      <c r="AM41" s="177">
        <f t="shared" ref="AM41:AM54" si="94">CH41</f>
        <v>95284</v>
      </c>
      <c r="AN41" s="177">
        <f t="shared" ref="AN41:AN54" si="95">CJ41</f>
        <v>151166</v>
      </c>
      <c r="AO41" s="177">
        <f t="shared" ref="AO41:AO54" si="96">CC41</f>
        <v>30556</v>
      </c>
      <c r="AP41" s="177">
        <f t="shared" ref="AP41:AP54" si="97">CD41</f>
        <v>6474</v>
      </c>
      <c r="AQ41" s="177">
        <f t="shared" ref="AQ41:AQ54" si="98">CK41</f>
        <v>38534</v>
      </c>
      <c r="AR41" s="177">
        <f t="shared" ref="AR41:AR54" si="99">CI41</f>
        <v>26759</v>
      </c>
      <c r="AS41" s="178">
        <f>CF41+CG41</f>
        <v>55715</v>
      </c>
      <c r="AT41" s="181">
        <v>949</v>
      </c>
      <c r="AU41" s="181">
        <v>9277</v>
      </c>
      <c r="AV41" s="181">
        <v>10064</v>
      </c>
      <c r="AW41" s="181">
        <v>31238</v>
      </c>
      <c r="AX41" s="181">
        <v>13803</v>
      </c>
      <c r="AY41" s="177">
        <v>22454</v>
      </c>
      <c r="AZ41" s="177">
        <v>272</v>
      </c>
      <c r="BA41" s="177">
        <v>13823</v>
      </c>
      <c r="BB41" s="177">
        <v>23201</v>
      </c>
      <c r="BC41" s="177">
        <v>68876</v>
      </c>
      <c r="BD41" s="177">
        <v>21355</v>
      </c>
      <c r="BE41" s="177">
        <v>23670</v>
      </c>
      <c r="BF41" s="179">
        <v>76619</v>
      </c>
      <c r="BG41" s="177">
        <v>239</v>
      </c>
      <c r="BH41" s="177">
        <v>322</v>
      </c>
      <c r="BI41" s="177">
        <v>6165</v>
      </c>
      <c r="BJ41" s="177">
        <v>2806</v>
      </c>
      <c r="BK41" s="177">
        <v>516</v>
      </c>
      <c r="BL41" s="177">
        <v>145</v>
      </c>
      <c r="BM41" s="177">
        <v>25716</v>
      </c>
      <c r="BN41" s="177">
        <v>12897</v>
      </c>
      <c r="BO41" s="177">
        <v>231</v>
      </c>
      <c r="BP41" s="177">
        <v>12501</v>
      </c>
      <c r="BQ41" s="177">
        <v>10930</v>
      </c>
      <c r="BR41" s="179">
        <v>13004</v>
      </c>
      <c r="BS41" s="177">
        <v>682</v>
      </c>
      <c r="BT41" s="177">
        <v>31246</v>
      </c>
      <c r="BU41" s="177">
        <v>16281</v>
      </c>
      <c r="BV41" s="177">
        <v>33483</v>
      </c>
      <c r="BW41" s="177">
        <v>19843</v>
      </c>
      <c r="BX41" s="177">
        <v>33474</v>
      </c>
      <c r="BY41" s="177">
        <v>16492</v>
      </c>
      <c r="BZ41" s="177">
        <v>26381</v>
      </c>
      <c r="CA41" s="177">
        <v>16671</v>
      </c>
      <c r="CB41" s="179">
        <v>36881</v>
      </c>
      <c r="CC41" s="177">
        <v>30556</v>
      </c>
      <c r="CD41" s="177">
        <v>6474</v>
      </c>
      <c r="CE41" s="177">
        <v>14066</v>
      </c>
      <c r="CF41" s="177">
        <v>2097</v>
      </c>
      <c r="CG41" s="177">
        <v>53618</v>
      </c>
      <c r="CH41" s="177">
        <v>95284</v>
      </c>
      <c r="CI41" s="177">
        <v>26759</v>
      </c>
      <c r="CJ41" s="177">
        <v>151166</v>
      </c>
      <c r="CK41" s="178">
        <v>38534</v>
      </c>
      <c r="CL41" s="180">
        <v>1051320</v>
      </c>
    </row>
    <row r="42" spans="1:90">
      <c r="A42" s="93">
        <f>ROWS($A$3:A40)</f>
        <v>38</v>
      </c>
      <c r="B42" s="106" t="s">
        <v>15</v>
      </c>
      <c r="C42" s="243"/>
      <c r="D42" s="314" t="s">
        <v>8</v>
      </c>
      <c r="E42" s="316">
        <v>40697</v>
      </c>
      <c r="F42" s="156">
        <v>103389</v>
      </c>
      <c r="G42" s="177">
        <v>24016</v>
      </c>
      <c r="H42" s="177">
        <v>69047</v>
      </c>
      <c r="I42" s="178">
        <v>164157</v>
      </c>
      <c r="J42" s="181"/>
      <c r="K42" s="156">
        <f t="shared" si="74"/>
        <v>24976</v>
      </c>
      <c r="L42" s="177">
        <f t="shared" si="75"/>
        <v>7233</v>
      </c>
      <c r="M42" s="177">
        <f t="shared" si="76"/>
        <v>7141</v>
      </c>
      <c r="N42" s="177">
        <f t="shared" si="77"/>
        <v>10476</v>
      </c>
      <c r="O42" s="177">
        <f t="shared" si="78"/>
        <v>7996</v>
      </c>
      <c r="P42" s="177">
        <f>AZ42+BA42</f>
        <v>4744</v>
      </c>
      <c r="Q42" s="177">
        <f>'2008'!AU42</f>
        <v>3144</v>
      </c>
      <c r="R42" s="177">
        <f>AT42+AX42</f>
        <v>4986</v>
      </c>
      <c r="S42" s="177">
        <f t="shared" si="79"/>
        <v>2635</v>
      </c>
      <c r="T42" s="177">
        <f t="shared" si="80"/>
        <v>7680</v>
      </c>
      <c r="U42" s="179">
        <f t="shared" si="81"/>
        <v>22408</v>
      </c>
      <c r="V42" s="177">
        <f>BJ42</f>
        <v>428</v>
      </c>
      <c r="W42" s="177">
        <f t="shared" si="82"/>
        <v>3916</v>
      </c>
      <c r="X42" s="177">
        <f>BI42</f>
        <v>1282</v>
      </c>
      <c r="Y42" s="177">
        <f>BK42+BN42</f>
        <v>3740</v>
      </c>
      <c r="Z42" s="177">
        <f t="shared" si="83"/>
        <v>8073</v>
      </c>
      <c r="AA42" s="177">
        <f>BQ42</f>
        <v>2987</v>
      </c>
      <c r="AB42" s="179">
        <f t="shared" si="84"/>
        <v>3496</v>
      </c>
      <c r="AC42" s="177">
        <f t="shared" si="85"/>
        <v>12310</v>
      </c>
      <c r="AD42" s="177">
        <f t="shared" si="86"/>
        <v>3715</v>
      </c>
      <c r="AE42" s="177">
        <f>BS42+BT42</f>
        <v>10771</v>
      </c>
      <c r="AF42" s="177">
        <f t="shared" si="87"/>
        <v>3703</v>
      </c>
      <c r="AG42" s="177">
        <f t="shared" si="88"/>
        <v>8451</v>
      </c>
      <c r="AH42" s="177">
        <f t="shared" si="89"/>
        <v>9240</v>
      </c>
      <c r="AI42" s="177">
        <f t="shared" si="90"/>
        <v>5250</v>
      </c>
      <c r="AJ42" s="177">
        <f t="shared" si="91"/>
        <v>5284</v>
      </c>
      <c r="AK42" s="179">
        <f t="shared" si="92"/>
        <v>10323</v>
      </c>
      <c r="AL42" s="177">
        <f t="shared" si="93"/>
        <v>3360</v>
      </c>
      <c r="AM42" s="177">
        <f t="shared" si="94"/>
        <v>35419</v>
      </c>
      <c r="AN42" s="177">
        <f t="shared" si="95"/>
        <v>71578</v>
      </c>
      <c r="AO42" s="177">
        <f t="shared" si="96"/>
        <v>8595</v>
      </c>
      <c r="AP42" s="177">
        <f t="shared" si="97"/>
        <v>1579</v>
      </c>
      <c r="AQ42" s="177">
        <f t="shared" si="98"/>
        <v>13437</v>
      </c>
      <c r="AR42" s="177">
        <f t="shared" si="99"/>
        <v>10896</v>
      </c>
      <c r="AS42" s="178">
        <f>CF42+CG42</f>
        <v>19484</v>
      </c>
      <c r="AT42" s="181">
        <v>441</v>
      </c>
      <c r="AU42" s="181">
        <v>3144</v>
      </c>
      <c r="AV42" s="181">
        <v>2635</v>
      </c>
      <c r="AW42" s="181">
        <v>10476</v>
      </c>
      <c r="AX42" s="181">
        <v>4545</v>
      </c>
      <c r="AY42" s="177">
        <v>7233</v>
      </c>
      <c r="AZ42" s="177">
        <v>108</v>
      </c>
      <c r="BA42" s="177">
        <v>4636</v>
      </c>
      <c r="BB42" s="177">
        <v>7680</v>
      </c>
      <c r="BC42" s="177">
        <v>22408</v>
      </c>
      <c r="BD42" s="177">
        <v>7141</v>
      </c>
      <c r="BE42" s="177">
        <v>7996</v>
      </c>
      <c r="BF42" s="179">
        <v>24976</v>
      </c>
      <c r="BG42" s="177" t="s">
        <v>252</v>
      </c>
      <c r="BH42" s="177" t="s">
        <v>252</v>
      </c>
      <c r="BI42" s="177">
        <v>1282</v>
      </c>
      <c r="BJ42" s="177">
        <v>428</v>
      </c>
      <c r="BK42" s="177">
        <v>147</v>
      </c>
      <c r="BL42" s="177" t="s">
        <v>252</v>
      </c>
      <c r="BM42" s="177">
        <v>8073</v>
      </c>
      <c r="BN42" s="177">
        <v>3593</v>
      </c>
      <c r="BO42" s="177" t="s">
        <v>252</v>
      </c>
      <c r="BP42" s="177">
        <v>3496</v>
      </c>
      <c r="BQ42" s="177">
        <v>2987</v>
      </c>
      <c r="BR42" s="179">
        <v>3916</v>
      </c>
      <c r="BS42" s="177">
        <v>83</v>
      </c>
      <c r="BT42" s="177">
        <v>10688</v>
      </c>
      <c r="BU42" s="177">
        <v>3715</v>
      </c>
      <c r="BV42" s="177">
        <v>8451</v>
      </c>
      <c r="BW42" s="177">
        <v>5250</v>
      </c>
      <c r="BX42" s="177">
        <v>12310</v>
      </c>
      <c r="BY42" s="177">
        <v>5284</v>
      </c>
      <c r="BZ42" s="177">
        <v>9240</v>
      </c>
      <c r="CA42" s="177">
        <v>3703</v>
      </c>
      <c r="CB42" s="179">
        <v>10323</v>
      </c>
      <c r="CC42" s="177">
        <v>8595</v>
      </c>
      <c r="CD42" s="177">
        <v>1579</v>
      </c>
      <c r="CE42" s="177">
        <v>3360</v>
      </c>
      <c r="CF42" s="177">
        <v>860</v>
      </c>
      <c r="CG42" s="177">
        <v>18624</v>
      </c>
      <c r="CH42" s="177">
        <v>35419</v>
      </c>
      <c r="CI42" s="177">
        <v>10896</v>
      </c>
      <c r="CJ42" s="177">
        <v>71578</v>
      </c>
      <c r="CK42" s="178">
        <v>13437</v>
      </c>
      <c r="CL42" s="180">
        <v>360609</v>
      </c>
    </row>
    <row r="43" spans="1:90">
      <c r="A43" s="93">
        <f>ROWS($A$3:A41)</f>
        <v>39</v>
      </c>
      <c r="B43" s="106" t="s">
        <v>253</v>
      </c>
      <c r="C43" s="243"/>
      <c r="D43" s="314" t="s">
        <v>8</v>
      </c>
      <c r="E43" s="316">
        <v>40697</v>
      </c>
      <c r="F43" s="156">
        <v>16901</v>
      </c>
      <c r="G43" s="177">
        <v>7758</v>
      </c>
      <c r="H43" s="177">
        <v>24440</v>
      </c>
      <c r="I43" s="178">
        <v>14549</v>
      </c>
      <c r="J43" s="181"/>
      <c r="K43" s="156">
        <f t="shared" si="74"/>
        <v>4562</v>
      </c>
      <c r="L43" s="177">
        <f t="shared" si="75"/>
        <v>1556</v>
      </c>
      <c r="M43" s="177">
        <f t="shared" si="76"/>
        <v>723</v>
      </c>
      <c r="N43" s="177">
        <f t="shared" si="77"/>
        <v>1946</v>
      </c>
      <c r="O43" s="177">
        <f t="shared" si="78"/>
        <v>817</v>
      </c>
      <c r="P43" s="177">
        <f>BA43</f>
        <v>683</v>
      </c>
      <c r="Q43" s="177">
        <f>'2008'!AU43</f>
        <v>638</v>
      </c>
      <c r="R43" s="177">
        <f>AX43</f>
        <v>328</v>
      </c>
      <c r="S43" s="177">
        <f t="shared" si="79"/>
        <v>939</v>
      </c>
      <c r="T43" s="177">
        <f t="shared" si="80"/>
        <v>1209</v>
      </c>
      <c r="U43" s="179">
        <f t="shared" si="81"/>
        <v>3435</v>
      </c>
      <c r="V43" s="177">
        <f>BG43+BJ43</f>
        <v>760</v>
      </c>
      <c r="W43" s="177">
        <f t="shared" si="82"/>
        <v>1223</v>
      </c>
      <c r="X43" s="177">
        <f>BI43</f>
        <v>843</v>
      </c>
      <c r="Y43" s="177">
        <f>BL43+BN43</f>
        <v>1106</v>
      </c>
      <c r="Z43" s="177">
        <f t="shared" si="83"/>
        <v>1348</v>
      </c>
      <c r="AA43" s="177">
        <f>BQ43</f>
        <v>1000</v>
      </c>
      <c r="AB43" s="179">
        <f t="shared" si="84"/>
        <v>1313</v>
      </c>
      <c r="AC43" s="177">
        <f t="shared" si="85"/>
        <v>2311</v>
      </c>
      <c r="AD43" s="177">
        <f t="shared" si="86"/>
        <v>2380</v>
      </c>
      <c r="AE43" s="177">
        <f>BS43+BT43</f>
        <v>3524</v>
      </c>
      <c r="AF43" s="177">
        <f t="shared" si="87"/>
        <v>3016</v>
      </c>
      <c r="AG43" s="177">
        <f t="shared" si="88"/>
        <v>4347</v>
      </c>
      <c r="AH43" s="177">
        <f t="shared" si="89"/>
        <v>1335</v>
      </c>
      <c r="AI43" s="177">
        <f t="shared" si="90"/>
        <v>2124</v>
      </c>
      <c r="AJ43" s="177">
        <f t="shared" si="91"/>
        <v>1475</v>
      </c>
      <c r="AK43" s="179">
        <f t="shared" si="92"/>
        <v>3928</v>
      </c>
      <c r="AL43" s="177">
        <f t="shared" si="93"/>
        <v>1901</v>
      </c>
      <c r="AM43" s="177">
        <f t="shared" si="94"/>
        <v>2526</v>
      </c>
      <c r="AN43" s="177">
        <f t="shared" si="95"/>
        <v>2729</v>
      </c>
      <c r="AO43" s="177">
        <f t="shared" si="96"/>
        <v>1418</v>
      </c>
      <c r="AP43" s="177">
        <f t="shared" si="97"/>
        <v>645</v>
      </c>
      <c r="AQ43" s="177">
        <f t="shared" si="98"/>
        <v>2185</v>
      </c>
      <c r="AR43" s="177">
        <f t="shared" si="99"/>
        <v>1007</v>
      </c>
      <c r="AS43" s="178">
        <f>CG43</f>
        <v>2042</v>
      </c>
      <c r="AT43" s="177">
        <v>47</v>
      </c>
      <c r="AU43" s="181">
        <v>638</v>
      </c>
      <c r="AV43" s="181">
        <v>939</v>
      </c>
      <c r="AW43" s="181">
        <v>1946</v>
      </c>
      <c r="AX43" s="181">
        <v>328</v>
      </c>
      <c r="AY43" s="177">
        <v>1556</v>
      </c>
      <c r="AZ43" s="177">
        <v>18</v>
      </c>
      <c r="BA43" s="177">
        <v>683</v>
      </c>
      <c r="BB43" s="177">
        <v>1209</v>
      </c>
      <c r="BC43" s="177">
        <v>3435</v>
      </c>
      <c r="BD43" s="177">
        <v>723</v>
      </c>
      <c r="BE43" s="177">
        <v>817</v>
      </c>
      <c r="BF43" s="179">
        <v>4562</v>
      </c>
      <c r="BG43" s="177">
        <v>84</v>
      </c>
      <c r="BH43" s="177">
        <v>30</v>
      </c>
      <c r="BI43" s="177">
        <v>843</v>
      </c>
      <c r="BJ43" s="177">
        <v>676</v>
      </c>
      <c r="BK43" s="177">
        <v>106</v>
      </c>
      <c r="BL43" s="177">
        <v>27</v>
      </c>
      <c r="BM43" s="177">
        <v>1348</v>
      </c>
      <c r="BN43" s="177">
        <v>1079</v>
      </c>
      <c r="BO43" s="177">
        <v>29</v>
      </c>
      <c r="BP43" s="177">
        <v>1313</v>
      </c>
      <c r="BQ43" s="177">
        <v>1000</v>
      </c>
      <c r="BR43" s="179">
        <v>1223</v>
      </c>
      <c r="BS43" s="177">
        <v>117</v>
      </c>
      <c r="BT43" s="177">
        <v>3407</v>
      </c>
      <c r="BU43" s="177">
        <v>2380</v>
      </c>
      <c r="BV43" s="177">
        <v>4347</v>
      </c>
      <c r="BW43" s="177">
        <v>2124</v>
      </c>
      <c r="BX43" s="177">
        <v>2311</v>
      </c>
      <c r="BY43" s="177">
        <v>1475</v>
      </c>
      <c r="BZ43" s="177">
        <v>1335</v>
      </c>
      <c r="CA43" s="177">
        <v>3016</v>
      </c>
      <c r="CB43" s="179">
        <v>3928</v>
      </c>
      <c r="CC43" s="177">
        <v>1418</v>
      </c>
      <c r="CD43" s="177">
        <v>645</v>
      </c>
      <c r="CE43" s="177">
        <v>1901</v>
      </c>
      <c r="CF43" s="177">
        <v>9</v>
      </c>
      <c r="CG43" s="177">
        <v>2042</v>
      </c>
      <c r="CH43" s="177">
        <v>2526</v>
      </c>
      <c r="CI43" s="177">
        <v>1007</v>
      </c>
      <c r="CJ43" s="177">
        <v>2729</v>
      </c>
      <c r="CK43" s="178">
        <v>2185</v>
      </c>
      <c r="CL43" s="180">
        <v>63648</v>
      </c>
    </row>
    <row r="44" spans="1:90">
      <c r="A44" s="93">
        <f>ROWS($A$3:A42)</f>
        <v>40</v>
      </c>
      <c r="B44" s="62" t="s">
        <v>21</v>
      </c>
      <c r="C44" s="242">
        <v>2008</v>
      </c>
      <c r="D44" s="314" t="s">
        <v>260</v>
      </c>
      <c r="E44" s="316">
        <v>40697</v>
      </c>
      <c r="F44" s="156">
        <f>F42/F124</f>
        <v>30.046207497820401</v>
      </c>
      <c r="G44" s="177">
        <f>G42/G124</f>
        <v>31.18961038961039</v>
      </c>
      <c r="H44" s="177">
        <f>H42/H124</f>
        <v>23.654333675916408</v>
      </c>
      <c r="I44" s="178">
        <f>I42/I124</f>
        <v>35.279819471308834</v>
      </c>
      <c r="J44" s="181"/>
      <c r="K44" s="156">
        <f t="shared" si="74"/>
        <v>30.834567901234568</v>
      </c>
      <c r="L44" s="177">
        <f t="shared" si="75"/>
        <v>25.740213523131672</v>
      </c>
      <c r="M44" s="177">
        <f t="shared" si="76"/>
        <v>24.709342560553633</v>
      </c>
      <c r="N44" s="177">
        <f t="shared" si="77"/>
        <v>32.433436532507741</v>
      </c>
      <c r="O44" s="177">
        <f t="shared" si="78"/>
        <v>35.537777777777777</v>
      </c>
      <c r="P44" s="183">
        <f>(AZ42*AZ44+BA42*BA44)/P42</f>
        <v>32.173266194176811</v>
      </c>
      <c r="Q44" s="177">
        <f>'2008'!AU44</f>
        <v>35.325842696629216</v>
      </c>
      <c r="R44" s="183">
        <f>(AT42*AT44+AX42*AX44)/R42</f>
        <v>29.221969811479937</v>
      </c>
      <c r="S44" s="177">
        <f t="shared" si="79"/>
        <v>26.887755102040817</v>
      </c>
      <c r="T44" s="177">
        <f t="shared" si="80"/>
        <v>31.093117408906881</v>
      </c>
      <c r="U44" s="179">
        <f t="shared" si="81"/>
        <v>29.484210526315788</v>
      </c>
      <c r="V44" s="183">
        <f>(BJ42*BJ44)/V42</f>
        <v>16.46153846153846</v>
      </c>
      <c r="W44" s="177">
        <f t="shared" si="82"/>
        <v>27.194444444444443</v>
      </c>
      <c r="X44" s="183">
        <f>(BI42*BI44)/X42</f>
        <v>34.648648648648646</v>
      </c>
      <c r="Y44" s="183">
        <f>(BK42*BK44+BN42*BN44)/Y42</f>
        <v>34.666359966446471</v>
      </c>
      <c r="Z44" s="177">
        <f t="shared" si="83"/>
        <v>34.353191489361706</v>
      </c>
      <c r="AA44" s="183">
        <f>(BQ42*BQ44)/AA42</f>
        <v>39.30263157894737</v>
      </c>
      <c r="AB44" s="179">
        <f t="shared" si="84"/>
        <v>25.705882352941178</v>
      </c>
      <c r="AC44" s="177">
        <f t="shared" si="85"/>
        <v>25.539419087136931</v>
      </c>
      <c r="AD44" s="177">
        <f t="shared" si="86"/>
        <v>19.248704663212436</v>
      </c>
      <c r="AE44" s="183">
        <f>(BS42*BS44+BT42*BT44)/AE42</f>
        <v>21.58543146627354</v>
      </c>
      <c r="AF44" s="177">
        <f t="shared" si="87"/>
        <v>17.802884615384617</v>
      </c>
      <c r="AG44" s="177">
        <f t="shared" si="88"/>
        <v>16.409708737864079</v>
      </c>
      <c r="AH44" s="177">
        <f t="shared" si="89"/>
        <v>35.133079847908746</v>
      </c>
      <c r="AI44" s="177">
        <f t="shared" si="90"/>
        <v>23.026315789473685</v>
      </c>
      <c r="AJ44" s="177">
        <f t="shared" si="91"/>
        <v>37.74285714285714</v>
      </c>
      <c r="AK44" s="179">
        <f t="shared" si="92"/>
        <v>26.401534526854221</v>
      </c>
      <c r="AL44" s="177">
        <f t="shared" si="93"/>
        <v>39.529411764705884</v>
      </c>
      <c r="AM44" s="177">
        <f t="shared" si="94"/>
        <v>35.958375634517765</v>
      </c>
      <c r="AN44" s="177">
        <f t="shared" si="95"/>
        <v>39.567716970702044</v>
      </c>
      <c r="AO44" s="177">
        <f t="shared" si="96"/>
        <v>30.806451612903224</v>
      </c>
      <c r="AP44" s="177">
        <f t="shared" si="97"/>
        <v>36.720930232558139</v>
      </c>
      <c r="AQ44" s="177">
        <f t="shared" si="98"/>
        <v>30.195505617977528</v>
      </c>
      <c r="AR44" s="177">
        <f t="shared" si="99"/>
        <v>28.901856763925728</v>
      </c>
      <c r="AS44" s="184">
        <f>(CF42*CF44+CG42*CG44)/AS42</f>
        <v>30.978181455155216</v>
      </c>
      <c r="AT44" s="177">
        <f t="shared" ref="AT44:BF44" si="100">AT42/AT124</f>
        <v>33.92307692307692</v>
      </c>
      <c r="AU44" s="177">
        <f t="shared" si="100"/>
        <v>35.325842696629216</v>
      </c>
      <c r="AV44" s="177">
        <f t="shared" si="100"/>
        <v>26.887755102040817</v>
      </c>
      <c r="AW44" s="177">
        <f t="shared" si="100"/>
        <v>32.433436532507741</v>
      </c>
      <c r="AX44" s="177">
        <f t="shared" si="100"/>
        <v>28.765822784810126</v>
      </c>
      <c r="AY44" s="177">
        <f t="shared" si="100"/>
        <v>25.740213523131672</v>
      </c>
      <c r="AZ44" s="177">
        <f t="shared" si="100"/>
        <v>21.6</v>
      </c>
      <c r="BA44" s="177">
        <f t="shared" si="100"/>
        <v>32.41958041958042</v>
      </c>
      <c r="BB44" s="177">
        <f t="shared" si="100"/>
        <v>31.093117408906881</v>
      </c>
      <c r="BC44" s="177">
        <f t="shared" si="100"/>
        <v>29.484210526315788</v>
      </c>
      <c r="BD44" s="177">
        <f t="shared" si="100"/>
        <v>24.709342560553633</v>
      </c>
      <c r="BE44" s="177">
        <f t="shared" si="100"/>
        <v>35.537777777777777</v>
      </c>
      <c r="BF44" s="179">
        <f t="shared" si="100"/>
        <v>30.834567901234568</v>
      </c>
      <c r="BG44" s="177" t="s">
        <v>252</v>
      </c>
      <c r="BH44" s="177" t="s">
        <v>252</v>
      </c>
      <c r="BI44" s="177">
        <f>BI42/BI124</f>
        <v>34.648648648648646</v>
      </c>
      <c r="BJ44" s="177">
        <f>BJ42/BJ124</f>
        <v>16.46153846153846</v>
      </c>
      <c r="BK44" s="177">
        <f>BK42/BK124</f>
        <v>21</v>
      </c>
      <c r="BL44" s="177" t="s">
        <v>252</v>
      </c>
      <c r="BM44" s="177">
        <f>BM42/BM124</f>
        <v>34.353191489361706</v>
      </c>
      <c r="BN44" s="177">
        <f>BN42/BN124</f>
        <v>35.225490196078432</v>
      </c>
      <c r="BO44" s="177" t="s">
        <v>252</v>
      </c>
      <c r="BP44" s="177">
        <f t="shared" ref="BP44:CL44" si="101">BP42/BP124</f>
        <v>25.705882352941178</v>
      </c>
      <c r="BQ44" s="177">
        <f t="shared" si="101"/>
        <v>39.30263157894737</v>
      </c>
      <c r="BR44" s="179">
        <f t="shared" si="101"/>
        <v>27.194444444444443</v>
      </c>
      <c r="BS44" s="177">
        <f t="shared" si="101"/>
        <v>20.75</v>
      </c>
      <c r="BT44" s="177">
        <f t="shared" si="101"/>
        <v>21.591919191919192</v>
      </c>
      <c r="BU44" s="177">
        <f t="shared" si="101"/>
        <v>19.248704663212436</v>
      </c>
      <c r="BV44" s="177">
        <f t="shared" si="101"/>
        <v>16.409708737864079</v>
      </c>
      <c r="BW44" s="177">
        <f t="shared" si="101"/>
        <v>23.026315789473685</v>
      </c>
      <c r="BX44" s="177">
        <f t="shared" si="101"/>
        <v>25.539419087136931</v>
      </c>
      <c r="BY44" s="177">
        <f t="shared" si="101"/>
        <v>37.74285714285714</v>
      </c>
      <c r="BZ44" s="177">
        <f t="shared" si="101"/>
        <v>35.133079847908746</v>
      </c>
      <c r="CA44" s="177">
        <f t="shared" si="101"/>
        <v>17.802884615384617</v>
      </c>
      <c r="CB44" s="179">
        <f t="shared" si="101"/>
        <v>26.401534526854221</v>
      </c>
      <c r="CC44" s="177">
        <f t="shared" si="101"/>
        <v>30.806451612903224</v>
      </c>
      <c r="CD44" s="177">
        <f t="shared" si="101"/>
        <v>36.720930232558139</v>
      </c>
      <c r="CE44" s="177">
        <f t="shared" si="101"/>
        <v>39.529411764705884</v>
      </c>
      <c r="CF44" s="177">
        <f t="shared" si="101"/>
        <v>37.391304347826086</v>
      </c>
      <c r="CG44" s="177">
        <f t="shared" si="101"/>
        <v>30.682042833607909</v>
      </c>
      <c r="CH44" s="177">
        <f t="shared" si="101"/>
        <v>35.958375634517765</v>
      </c>
      <c r="CI44" s="177">
        <f t="shared" si="101"/>
        <v>28.901856763925728</v>
      </c>
      <c r="CJ44" s="177">
        <f t="shared" si="101"/>
        <v>39.567716970702044</v>
      </c>
      <c r="CK44" s="178">
        <f t="shared" si="101"/>
        <v>30.195505617977528</v>
      </c>
      <c r="CL44" s="180">
        <f t="shared" si="101"/>
        <v>30.604175507086481</v>
      </c>
    </row>
    <row r="45" spans="1:90">
      <c r="A45" s="93">
        <f>ROWS($A$3:A43)</f>
        <v>41</v>
      </c>
      <c r="B45" s="106" t="s">
        <v>79</v>
      </c>
      <c r="C45" s="242">
        <v>2007</v>
      </c>
      <c r="D45" s="314" t="s">
        <v>8</v>
      </c>
      <c r="E45" s="316">
        <v>40652</v>
      </c>
      <c r="F45" s="156">
        <v>1180197</v>
      </c>
      <c r="G45" s="177">
        <v>127805</v>
      </c>
      <c r="H45" s="177">
        <v>180992</v>
      </c>
      <c r="I45" s="178">
        <v>746925</v>
      </c>
      <c r="J45" s="181"/>
      <c r="K45" s="156">
        <f t="shared" si="74"/>
        <v>140592</v>
      </c>
      <c r="L45" s="177">
        <f t="shared" si="75"/>
        <v>19474</v>
      </c>
      <c r="M45" s="177">
        <f t="shared" si="76"/>
        <v>160206</v>
      </c>
      <c r="N45" s="177">
        <f t="shared" si="77"/>
        <v>28195</v>
      </c>
      <c r="O45" s="177">
        <f t="shared" si="78"/>
        <v>50959</v>
      </c>
      <c r="P45" s="177">
        <f>BA45</f>
        <v>36359</v>
      </c>
      <c r="Q45" s="177">
        <f>'2008'!AU45</f>
        <v>20889</v>
      </c>
      <c r="R45" s="177">
        <f>AX45</f>
        <v>42918</v>
      </c>
      <c r="S45" s="177">
        <f t="shared" si="79"/>
        <v>8426</v>
      </c>
      <c r="T45" s="177">
        <f t="shared" si="80"/>
        <v>194362</v>
      </c>
      <c r="U45" s="179">
        <f t="shared" si="81"/>
        <v>477817</v>
      </c>
      <c r="V45" s="177">
        <f>BJ45</f>
        <v>7440</v>
      </c>
      <c r="W45" s="177">
        <f t="shared" si="82"/>
        <v>14753</v>
      </c>
      <c r="X45" s="177">
        <f>BH45+BI45</f>
        <v>13037</v>
      </c>
      <c r="Y45" s="177">
        <f>BK45+BL45+BN45</f>
        <v>33131</v>
      </c>
      <c r="Z45" s="177">
        <f t="shared" si="83"/>
        <v>43654</v>
      </c>
      <c r="AA45" s="177">
        <f>BQ45</f>
        <v>8295</v>
      </c>
      <c r="AB45" s="179">
        <f t="shared" si="84"/>
        <v>8817</v>
      </c>
      <c r="AC45" s="177">
        <f t="shared" si="85"/>
        <v>24208</v>
      </c>
      <c r="AD45" s="177">
        <f t="shared" si="86"/>
        <v>7935</v>
      </c>
      <c r="AE45" s="177">
        <f>BS45+BT45</f>
        <v>10268</v>
      </c>
      <c r="AF45" s="177">
        <f t="shared" si="87"/>
        <v>4880</v>
      </c>
      <c r="AG45" s="177">
        <f t="shared" si="88"/>
        <v>38468</v>
      </c>
      <c r="AH45" s="177">
        <f t="shared" si="89"/>
        <v>22788</v>
      </c>
      <c r="AI45" s="177">
        <f t="shared" si="90"/>
        <v>39860</v>
      </c>
      <c r="AJ45" s="177">
        <f t="shared" si="91"/>
        <v>12198</v>
      </c>
      <c r="AK45" s="179">
        <f t="shared" si="92"/>
        <v>20387</v>
      </c>
      <c r="AL45" s="177">
        <f t="shared" si="93"/>
        <v>11586</v>
      </c>
      <c r="AM45" s="177">
        <f t="shared" si="94"/>
        <v>174636</v>
      </c>
      <c r="AN45" s="177">
        <f t="shared" si="95"/>
        <v>64349</v>
      </c>
      <c r="AO45" s="177">
        <f t="shared" si="96"/>
        <v>35347</v>
      </c>
      <c r="AP45" s="177">
        <f t="shared" si="97"/>
        <v>15667</v>
      </c>
      <c r="AQ45" s="177">
        <f t="shared" si="98"/>
        <v>109636</v>
      </c>
      <c r="AR45" s="177">
        <f t="shared" si="99"/>
        <v>21765</v>
      </c>
      <c r="AS45" s="178">
        <f>CF45+CG45</f>
        <v>313939</v>
      </c>
      <c r="AT45" s="177" t="s">
        <v>252</v>
      </c>
      <c r="AU45" s="181">
        <v>20889</v>
      </c>
      <c r="AV45" s="181">
        <v>8426</v>
      </c>
      <c r="AW45" s="181">
        <v>28195</v>
      </c>
      <c r="AX45" s="181">
        <v>42918</v>
      </c>
      <c r="AY45" s="177">
        <v>19474</v>
      </c>
      <c r="AZ45" s="177" t="s">
        <v>252</v>
      </c>
      <c r="BA45" s="177">
        <v>36359</v>
      </c>
      <c r="BB45" s="177">
        <v>194362</v>
      </c>
      <c r="BC45" s="177">
        <v>477817</v>
      </c>
      <c r="BD45" s="177">
        <v>160206</v>
      </c>
      <c r="BE45" s="177">
        <v>50959</v>
      </c>
      <c r="BF45" s="179">
        <v>140592</v>
      </c>
      <c r="BG45" s="177" t="s">
        <v>252</v>
      </c>
      <c r="BH45" s="177">
        <v>1322</v>
      </c>
      <c r="BI45" s="177">
        <v>11715</v>
      </c>
      <c r="BJ45" s="177">
        <v>7440</v>
      </c>
      <c r="BK45" s="177">
        <v>792</v>
      </c>
      <c r="BL45" s="177">
        <v>841</v>
      </c>
      <c r="BM45" s="177">
        <v>43654</v>
      </c>
      <c r="BN45" s="177">
        <v>31498</v>
      </c>
      <c r="BO45" s="177" t="s">
        <v>252</v>
      </c>
      <c r="BP45" s="177">
        <v>8817</v>
      </c>
      <c r="BQ45" s="177">
        <v>8295</v>
      </c>
      <c r="BR45" s="179">
        <v>14753</v>
      </c>
      <c r="BS45" s="177">
        <v>411</v>
      </c>
      <c r="BT45" s="177">
        <v>9857</v>
      </c>
      <c r="BU45" s="177">
        <v>7935</v>
      </c>
      <c r="BV45" s="177">
        <v>38468</v>
      </c>
      <c r="BW45" s="177">
        <v>39860</v>
      </c>
      <c r="BX45" s="177">
        <v>24208</v>
      </c>
      <c r="BY45" s="177">
        <v>12198</v>
      </c>
      <c r="BZ45" s="177">
        <v>22788</v>
      </c>
      <c r="CA45" s="177">
        <v>4880</v>
      </c>
      <c r="CB45" s="179">
        <v>20387</v>
      </c>
      <c r="CC45" s="177">
        <v>35347</v>
      </c>
      <c r="CD45" s="177">
        <v>15667</v>
      </c>
      <c r="CE45" s="177">
        <v>11586</v>
      </c>
      <c r="CF45" s="177">
        <v>21147</v>
      </c>
      <c r="CG45" s="177">
        <v>292792</v>
      </c>
      <c r="CH45" s="177">
        <v>174636</v>
      </c>
      <c r="CI45" s="177">
        <v>21765</v>
      </c>
      <c r="CJ45" s="177">
        <v>64349</v>
      </c>
      <c r="CK45" s="178">
        <v>109636</v>
      </c>
      <c r="CL45" s="180">
        <v>2238322</v>
      </c>
    </row>
    <row r="46" spans="1:90">
      <c r="A46" s="93">
        <f>ROWS($A$3:A44)</f>
        <v>42</v>
      </c>
      <c r="B46" s="106" t="s">
        <v>9</v>
      </c>
      <c r="C46" s="243"/>
      <c r="D46" s="314" t="s">
        <v>8</v>
      </c>
      <c r="E46" s="316">
        <v>40652</v>
      </c>
      <c r="F46" s="156">
        <v>161288</v>
      </c>
      <c r="G46" s="177">
        <v>11514</v>
      </c>
      <c r="H46" s="177">
        <v>15185</v>
      </c>
      <c r="I46" s="178">
        <v>83191</v>
      </c>
      <c r="J46" s="181"/>
      <c r="K46" s="156">
        <f t="shared" si="74"/>
        <v>20873</v>
      </c>
      <c r="L46" s="177">
        <f t="shared" si="75"/>
        <v>1661</v>
      </c>
      <c r="M46" s="177">
        <f t="shared" si="76"/>
        <v>23900</v>
      </c>
      <c r="N46" s="177">
        <f t="shared" si="77"/>
        <v>1821</v>
      </c>
      <c r="O46" s="177">
        <f t="shared" si="78"/>
        <v>5178</v>
      </c>
      <c r="P46" s="177">
        <f>BA46</f>
        <v>3905</v>
      </c>
      <c r="Q46" s="177">
        <f>'2008'!AU46</f>
        <v>2440</v>
      </c>
      <c r="R46" s="177">
        <f>AX46</f>
        <v>3610</v>
      </c>
      <c r="S46" s="177">
        <f t="shared" si="79"/>
        <v>545</v>
      </c>
      <c r="T46" s="177">
        <f t="shared" si="80"/>
        <v>29758</v>
      </c>
      <c r="U46" s="179">
        <f t="shared" si="81"/>
        <v>67597</v>
      </c>
      <c r="V46" s="177">
        <f>BJ46</f>
        <v>615</v>
      </c>
      <c r="W46" s="177">
        <f t="shared" si="82"/>
        <v>1828</v>
      </c>
      <c r="X46" s="177">
        <f>BI46</f>
        <v>1077</v>
      </c>
      <c r="Y46" s="177">
        <f>BL46+BN46</f>
        <v>2582</v>
      </c>
      <c r="Z46" s="177">
        <f t="shared" si="83"/>
        <v>4450</v>
      </c>
      <c r="AA46" s="177">
        <f>BQ46</f>
        <v>408</v>
      </c>
      <c r="AB46" s="179">
        <f t="shared" si="84"/>
        <v>554</v>
      </c>
      <c r="AC46" s="177">
        <f t="shared" si="85"/>
        <v>1807</v>
      </c>
      <c r="AD46" s="177">
        <f t="shared" si="86"/>
        <v>614</v>
      </c>
      <c r="AE46" s="177">
        <f>BT46</f>
        <v>745</v>
      </c>
      <c r="AF46" s="177" t="str">
        <f t="shared" si="87"/>
        <v>*</v>
      </c>
      <c r="AG46" s="177">
        <f t="shared" si="88"/>
        <v>4152</v>
      </c>
      <c r="AH46" s="177">
        <f t="shared" si="89"/>
        <v>1541</v>
      </c>
      <c r="AI46" s="177">
        <f t="shared" si="90"/>
        <v>3227</v>
      </c>
      <c r="AJ46" s="177">
        <f t="shared" si="91"/>
        <v>1096</v>
      </c>
      <c r="AK46" s="179">
        <f t="shared" si="92"/>
        <v>2003</v>
      </c>
      <c r="AL46" s="177">
        <f t="shared" si="93"/>
        <v>850</v>
      </c>
      <c r="AM46" s="177">
        <f t="shared" si="94"/>
        <v>19510</v>
      </c>
      <c r="AN46" s="177">
        <f t="shared" si="95"/>
        <v>7843</v>
      </c>
      <c r="AO46" s="177">
        <f t="shared" si="96"/>
        <v>4324</v>
      </c>
      <c r="AP46" s="177">
        <f t="shared" si="97"/>
        <v>988</v>
      </c>
      <c r="AQ46" s="177">
        <f t="shared" si="98"/>
        <v>12657</v>
      </c>
      <c r="AR46" s="177">
        <f t="shared" si="99"/>
        <v>1948</v>
      </c>
      <c r="AS46" s="178">
        <f>CF46+CG46</f>
        <v>35071</v>
      </c>
      <c r="AT46" s="177" t="s">
        <v>252</v>
      </c>
      <c r="AU46" s="181">
        <v>2440</v>
      </c>
      <c r="AV46" s="181">
        <v>545</v>
      </c>
      <c r="AW46" s="181">
        <v>1821</v>
      </c>
      <c r="AX46" s="181">
        <v>3610</v>
      </c>
      <c r="AY46" s="177">
        <v>1661</v>
      </c>
      <c r="AZ46" s="177" t="s">
        <v>252</v>
      </c>
      <c r="BA46" s="177">
        <v>3905</v>
      </c>
      <c r="BB46" s="177">
        <v>29758</v>
      </c>
      <c r="BC46" s="177">
        <v>67597</v>
      </c>
      <c r="BD46" s="177">
        <v>23900</v>
      </c>
      <c r="BE46" s="177">
        <v>5178</v>
      </c>
      <c r="BF46" s="179">
        <v>20873</v>
      </c>
      <c r="BG46" s="177" t="s">
        <v>252</v>
      </c>
      <c r="BH46" s="177">
        <v>163</v>
      </c>
      <c r="BI46" s="177">
        <v>1077</v>
      </c>
      <c r="BJ46" s="177">
        <v>615</v>
      </c>
      <c r="BK46" s="177" t="s">
        <v>252</v>
      </c>
      <c r="BL46" s="177">
        <v>0</v>
      </c>
      <c r="BM46" s="177">
        <v>4450</v>
      </c>
      <c r="BN46" s="177">
        <v>2582</v>
      </c>
      <c r="BO46" s="177" t="s">
        <v>252</v>
      </c>
      <c r="BP46" s="177">
        <v>554</v>
      </c>
      <c r="BQ46" s="177">
        <v>408</v>
      </c>
      <c r="BR46" s="179">
        <v>1828</v>
      </c>
      <c r="BS46" s="177" t="s">
        <v>252</v>
      </c>
      <c r="BT46" s="177">
        <v>745</v>
      </c>
      <c r="BU46" s="177">
        <v>614</v>
      </c>
      <c r="BV46" s="177">
        <v>4152</v>
      </c>
      <c r="BW46" s="177">
        <v>3227</v>
      </c>
      <c r="BX46" s="177">
        <v>1807</v>
      </c>
      <c r="BY46" s="177">
        <v>1096</v>
      </c>
      <c r="BZ46" s="177">
        <v>1541</v>
      </c>
      <c r="CA46" s="177" t="s">
        <v>252</v>
      </c>
      <c r="CB46" s="179">
        <v>2003</v>
      </c>
      <c r="CC46" s="177">
        <v>4324</v>
      </c>
      <c r="CD46" s="177">
        <v>988</v>
      </c>
      <c r="CE46" s="177">
        <v>850</v>
      </c>
      <c r="CF46" s="177">
        <v>1599</v>
      </c>
      <c r="CG46" s="177">
        <v>33472</v>
      </c>
      <c r="CH46" s="177">
        <v>19510</v>
      </c>
      <c r="CI46" s="177">
        <v>1948</v>
      </c>
      <c r="CJ46" s="177">
        <v>7843</v>
      </c>
      <c r="CK46" s="178">
        <v>12657</v>
      </c>
      <c r="CL46" s="180">
        <v>271854</v>
      </c>
    </row>
    <row r="47" spans="1:90">
      <c r="A47" s="93">
        <f>ROWS($A$3:A45)</f>
        <v>43</v>
      </c>
      <c r="B47" s="62" t="s">
        <v>20</v>
      </c>
      <c r="C47" s="312"/>
      <c r="D47" s="314" t="s">
        <v>260</v>
      </c>
      <c r="E47" s="316">
        <v>40652</v>
      </c>
      <c r="F47" s="156">
        <v>95</v>
      </c>
      <c r="G47" s="177">
        <v>57</v>
      </c>
      <c r="H47" s="177">
        <v>30</v>
      </c>
      <c r="I47" s="178">
        <v>92</v>
      </c>
      <c r="J47" s="181"/>
      <c r="K47" s="156">
        <f t="shared" si="74"/>
        <v>57</v>
      </c>
      <c r="L47" s="177">
        <f t="shared" si="75"/>
        <v>45</v>
      </c>
      <c r="M47" s="177">
        <f t="shared" si="76"/>
        <v>70</v>
      </c>
      <c r="N47" s="177">
        <f t="shared" si="77"/>
        <v>61</v>
      </c>
      <c r="O47" s="177">
        <f t="shared" si="78"/>
        <v>98</v>
      </c>
      <c r="P47" s="177">
        <f>BA47</f>
        <v>100</v>
      </c>
      <c r="Q47" s="177">
        <f>'2008'!AU47</f>
        <v>85</v>
      </c>
      <c r="R47" s="183" t="s">
        <v>252</v>
      </c>
      <c r="S47" s="177">
        <f t="shared" si="79"/>
        <v>38</v>
      </c>
      <c r="T47" s="177">
        <f t="shared" si="80"/>
        <v>134</v>
      </c>
      <c r="U47" s="179">
        <f t="shared" si="81"/>
        <v>132</v>
      </c>
      <c r="V47" s="183">
        <f>(BJ45*BJ47)/V45</f>
        <v>60</v>
      </c>
      <c r="W47" s="177">
        <f t="shared" si="82"/>
        <v>32</v>
      </c>
      <c r="X47" s="183">
        <f>(BH45*BH47+BI45*BI47)/X45</f>
        <v>57.23088133773107</v>
      </c>
      <c r="Y47" s="183">
        <f>(BL45*BL47+BN45*BN47)/Y45</f>
        <v>86.770909420180502</v>
      </c>
      <c r="Z47" s="177">
        <f t="shared" si="83"/>
        <v>72</v>
      </c>
      <c r="AA47" s="183">
        <f>(BQ45*BQ47)/AA45</f>
        <v>49</v>
      </c>
      <c r="AB47" s="179">
        <f t="shared" si="84"/>
        <v>26</v>
      </c>
      <c r="AC47" s="177">
        <f t="shared" si="85"/>
        <v>30</v>
      </c>
      <c r="AD47" s="177">
        <f t="shared" si="86"/>
        <v>16</v>
      </c>
      <c r="AE47" s="183">
        <f>(BS45*BS47+BT45*BT47)/AE45</f>
        <v>13.87991819244254</v>
      </c>
      <c r="AF47" s="177">
        <f t="shared" si="87"/>
        <v>24</v>
      </c>
      <c r="AG47" s="177">
        <f t="shared" si="88"/>
        <v>20</v>
      </c>
      <c r="AH47" s="177">
        <f t="shared" si="89"/>
        <v>70</v>
      </c>
      <c r="AI47" s="177">
        <f t="shared" si="90"/>
        <v>54</v>
      </c>
      <c r="AJ47" s="177">
        <f t="shared" si="91"/>
        <v>44</v>
      </c>
      <c r="AK47" s="179">
        <f t="shared" si="92"/>
        <v>27</v>
      </c>
      <c r="AL47" s="177">
        <f t="shared" si="93"/>
        <v>47</v>
      </c>
      <c r="AM47" s="177">
        <f t="shared" si="94"/>
        <v>103</v>
      </c>
      <c r="AN47" s="177">
        <f t="shared" si="95"/>
        <v>88</v>
      </c>
      <c r="AO47" s="177">
        <f t="shared" si="96"/>
        <v>36</v>
      </c>
      <c r="AP47" s="177">
        <f t="shared" si="97"/>
        <v>66</v>
      </c>
      <c r="AQ47" s="177">
        <f t="shared" si="98"/>
        <v>81</v>
      </c>
      <c r="AR47" s="177">
        <f t="shared" si="99"/>
        <v>68</v>
      </c>
      <c r="AS47" s="184">
        <f>(CF45*CF47+CG45*CG47)/AS45</f>
        <v>124.44577449759348</v>
      </c>
      <c r="AT47" s="177" t="s">
        <v>252</v>
      </c>
      <c r="AU47" s="177">
        <v>85</v>
      </c>
      <c r="AV47" s="177">
        <v>38</v>
      </c>
      <c r="AW47" s="177">
        <v>61</v>
      </c>
      <c r="AX47" s="177">
        <v>123</v>
      </c>
      <c r="AY47" s="177">
        <v>45</v>
      </c>
      <c r="AZ47" s="177" t="s">
        <v>252</v>
      </c>
      <c r="BA47" s="177">
        <v>100</v>
      </c>
      <c r="BB47" s="177">
        <v>134</v>
      </c>
      <c r="BC47" s="177">
        <v>132</v>
      </c>
      <c r="BD47" s="177">
        <v>70</v>
      </c>
      <c r="BE47" s="177">
        <v>98</v>
      </c>
      <c r="BF47" s="179">
        <v>57</v>
      </c>
      <c r="BG47" s="177">
        <v>0</v>
      </c>
      <c r="BH47" s="177">
        <v>77</v>
      </c>
      <c r="BI47" s="177">
        <v>55</v>
      </c>
      <c r="BJ47" s="177">
        <v>60</v>
      </c>
      <c r="BK47" s="177" t="s">
        <v>252</v>
      </c>
      <c r="BL47" s="177">
        <v>85</v>
      </c>
      <c r="BM47" s="177">
        <v>72</v>
      </c>
      <c r="BN47" s="177">
        <v>89</v>
      </c>
      <c r="BO47" s="177" t="s">
        <v>252</v>
      </c>
      <c r="BP47" s="177">
        <v>26</v>
      </c>
      <c r="BQ47" s="177">
        <v>49</v>
      </c>
      <c r="BR47" s="179">
        <v>32</v>
      </c>
      <c r="BS47" s="177">
        <v>11</v>
      </c>
      <c r="BT47" s="177">
        <v>14</v>
      </c>
      <c r="BU47" s="177">
        <v>16</v>
      </c>
      <c r="BV47" s="177">
        <v>20</v>
      </c>
      <c r="BW47" s="177">
        <v>54</v>
      </c>
      <c r="BX47" s="177">
        <v>30</v>
      </c>
      <c r="BY47" s="177">
        <v>44</v>
      </c>
      <c r="BZ47" s="177">
        <v>70</v>
      </c>
      <c r="CA47" s="177">
        <v>24</v>
      </c>
      <c r="CB47" s="179">
        <v>27</v>
      </c>
      <c r="CC47" s="177">
        <v>36</v>
      </c>
      <c r="CD47" s="177">
        <v>66</v>
      </c>
      <c r="CE47" s="177">
        <v>47</v>
      </c>
      <c r="CF47" s="177">
        <v>186</v>
      </c>
      <c r="CG47" s="177">
        <v>120</v>
      </c>
      <c r="CH47" s="177">
        <v>103</v>
      </c>
      <c r="CI47" s="177">
        <v>68</v>
      </c>
      <c r="CJ47" s="177">
        <v>88</v>
      </c>
      <c r="CK47" s="178">
        <v>81</v>
      </c>
      <c r="CL47" s="180">
        <v>74</v>
      </c>
    </row>
    <row r="48" spans="1:90">
      <c r="A48" s="93">
        <f>ROWS($A$3:A46)</f>
        <v>44</v>
      </c>
      <c r="B48" s="236" t="s">
        <v>258</v>
      </c>
      <c r="C48" s="242">
        <v>2007</v>
      </c>
      <c r="D48" s="314" t="s">
        <v>8</v>
      </c>
      <c r="E48" s="316">
        <v>40652</v>
      </c>
      <c r="F48" s="156">
        <v>21010</v>
      </c>
      <c r="G48" s="177">
        <v>12940</v>
      </c>
      <c r="H48" s="177">
        <v>15249</v>
      </c>
      <c r="I48" s="178">
        <v>18617</v>
      </c>
      <c r="J48" s="181"/>
      <c r="K48" s="156">
        <f t="shared" si="74"/>
        <v>3648</v>
      </c>
      <c r="L48" s="177">
        <f t="shared" si="75"/>
        <v>2101</v>
      </c>
      <c r="M48" s="177">
        <f t="shared" si="76"/>
        <v>973</v>
      </c>
      <c r="N48" s="177">
        <f t="shared" si="77"/>
        <v>1831</v>
      </c>
      <c r="O48" s="177">
        <f t="shared" si="78"/>
        <v>931</v>
      </c>
      <c r="P48" s="177">
        <f>AZ48+BA48</f>
        <v>1659</v>
      </c>
      <c r="Q48" s="177">
        <f>'2008'!AU48</f>
        <v>2372</v>
      </c>
      <c r="R48" s="177">
        <f>AT48+AX48</f>
        <v>2573</v>
      </c>
      <c r="S48" s="177">
        <f t="shared" si="79"/>
        <v>2186</v>
      </c>
      <c r="T48" s="177">
        <f t="shared" si="80"/>
        <v>917</v>
      </c>
      <c r="U48" s="179">
        <f t="shared" si="81"/>
        <v>1819</v>
      </c>
      <c r="V48" s="177">
        <f>BG48+BJ48</f>
        <v>839</v>
      </c>
      <c r="W48" s="177">
        <f t="shared" si="82"/>
        <v>1202</v>
      </c>
      <c r="X48" s="177">
        <f>BH48+BI48</f>
        <v>2766</v>
      </c>
      <c r="Y48" s="177">
        <f>BK48+BL48+BN48</f>
        <v>3143</v>
      </c>
      <c r="Z48" s="177">
        <f t="shared" si="83"/>
        <v>1855</v>
      </c>
      <c r="AA48" s="177">
        <f>BO48+BQ48</f>
        <v>1630</v>
      </c>
      <c r="AB48" s="179">
        <f t="shared" si="84"/>
        <v>1505</v>
      </c>
      <c r="AC48" s="177">
        <f t="shared" si="85"/>
        <v>1374</v>
      </c>
      <c r="AD48" s="177">
        <f t="shared" si="86"/>
        <v>1092</v>
      </c>
      <c r="AE48" s="177">
        <f>BS48+BT48</f>
        <v>2820</v>
      </c>
      <c r="AF48" s="177">
        <f t="shared" si="87"/>
        <v>1822</v>
      </c>
      <c r="AG48" s="177">
        <f t="shared" si="88"/>
        <v>1978</v>
      </c>
      <c r="AH48" s="177">
        <f t="shared" si="89"/>
        <v>1799</v>
      </c>
      <c r="AI48" s="177">
        <f t="shared" si="90"/>
        <v>1100</v>
      </c>
      <c r="AJ48" s="177">
        <f t="shared" si="91"/>
        <v>908</v>
      </c>
      <c r="AK48" s="179">
        <f t="shared" si="92"/>
        <v>2356</v>
      </c>
      <c r="AL48" s="177">
        <f t="shared" si="93"/>
        <v>1861</v>
      </c>
      <c r="AM48" s="177">
        <f t="shared" si="94"/>
        <v>2346</v>
      </c>
      <c r="AN48" s="177">
        <f t="shared" si="95"/>
        <v>4253</v>
      </c>
      <c r="AO48" s="177">
        <f t="shared" si="96"/>
        <v>2871</v>
      </c>
      <c r="AP48" s="177">
        <f t="shared" si="97"/>
        <v>986</v>
      </c>
      <c r="AQ48" s="177">
        <f t="shared" si="98"/>
        <v>1856</v>
      </c>
      <c r="AR48" s="177">
        <f t="shared" si="99"/>
        <v>1984</v>
      </c>
      <c r="AS48" s="178">
        <f>CF48+CG48</f>
        <v>2460</v>
      </c>
      <c r="AT48" s="177">
        <v>255</v>
      </c>
      <c r="AU48" s="181">
        <v>2372</v>
      </c>
      <c r="AV48" s="181">
        <v>2186</v>
      </c>
      <c r="AW48" s="181">
        <v>1831</v>
      </c>
      <c r="AX48" s="181">
        <v>2318</v>
      </c>
      <c r="AY48" s="177">
        <v>2101</v>
      </c>
      <c r="AZ48" s="177">
        <v>41</v>
      </c>
      <c r="BA48" s="177">
        <v>1618</v>
      </c>
      <c r="BB48" s="177">
        <v>917</v>
      </c>
      <c r="BC48" s="177">
        <v>1819</v>
      </c>
      <c r="BD48" s="177">
        <v>973</v>
      </c>
      <c r="BE48" s="177">
        <v>931</v>
      </c>
      <c r="BF48" s="179">
        <v>3648</v>
      </c>
      <c r="BG48" s="177">
        <v>61</v>
      </c>
      <c r="BH48" s="177">
        <v>171</v>
      </c>
      <c r="BI48" s="177">
        <v>2595</v>
      </c>
      <c r="BJ48" s="177">
        <v>778</v>
      </c>
      <c r="BK48" s="177">
        <v>176</v>
      </c>
      <c r="BL48" s="177">
        <v>444</v>
      </c>
      <c r="BM48" s="177">
        <v>1855</v>
      </c>
      <c r="BN48" s="177">
        <v>2523</v>
      </c>
      <c r="BO48" s="177">
        <v>173</v>
      </c>
      <c r="BP48" s="177">
        <v>1505</v>
      </c>
      <c r="BQ48" s="177">
        <v>1457</v>
      </c>
      <c r="BR48" s="179">
        <v>1202</v>
      </c>
      <c r="BS48" s="177">
        <v>214</v>
      </c>
      <c r="BT48" s="177">
        <v>2606</v>
      </c>
      <c r="BU48" s="177">
        <v>1092</v>
      </c>
      <c r="BV48" s="177">
        <v>1978</v>
      </c>
      <c r="BW48" s="177">
        <v>1100</v>
      </c>
      <c r="BX48" s="177">
        <v>1374</v>
      </c>
      <c r="BY48" s="177">
        <v>908</v>
      </c>
      <c r="BZ48" s="177">
        <v>1799</v>
      </c>
      <c r="CA48" s="177">
        <v>1822</v>
      </c>
      <c r="CB48" s="179">
        <v>2356</v>
      </c>
      <c r="CC48" s="177">
        <v>2871</v>
      </c>
      <c r="CD48" s="177">
        <v>986</v>
      </c>
      <c r="CE48" s="177">
        <v>1861</v>
      </c>
      <c r="CF48" s="177">
        <v>249</v>
      </c>
      <c r="CG48" s="177">
        <v>2211</v>
      </c>
      <c r="CH48" s="177">
        <v>2346</v>
      </c>
      <c r="CI48" s="177">
        <v>1984</v>
      </c>
      <c r="CJ48" s="177">
        <v>4253</v>
      </c>
      <c r="CK48" s="178">
        <v>1856</v>
      </c>
      <c r="CL48" s="180">
        <v>67816</v>
      </c>
    </row>
    <row r="49" spans="1:90">
      <c r="A49" s="93">
        <f>ROWS($A$3:A47)</f>
        <v>45</v>
      </c>
      <c r="B49" s="106" t="s">
        <v>80</v>
      </c>
      <c r="C49" s="242">
        <v>2007</v>
      </c>
      <c r="D49" s="314" t="s">
        <v>8</v>
      </c>
      <c r="E49" s="316">
        <v>40652</v>
      </c>
      <c r="F49" s="156">
        <v>89942</v>
      </c>
      <c r="G49" s="177">
        <v>37333</v>
      </c>
      <c r="H49" s="177">
        <v>58301</v>
      </c>
      <c r="I49" s="178">
        <v>80552</v>
      </c>
      <c r="J49" s="181"/>
      <c r="K49" s="156">
        <f t="shared" si="74"/>
        <v>11991</v>
      </c>
      <c r="L49" s="177">
        <f t="shared" si="75"/>
        <v>7878</v>
      </c>
      <c r="M49" s="177">
        <f t="shared" si="76"/>
        <v>5265</v>
      </c>
      <c r="N49" s="177">
        <f t="shared" si="77"/>
        <v>10904</v>
      </c>
      <c r="O49" s="177">
        <f t="shared" si="78"/>
        <v>9890</v>
      </c>
      <c r="P49" s="177">
        <f>AZ49+BA49</f>
        <v>8353</v>
      </c>
      <c r="Q49" s="177" t="str">
        <f>'2008'!AU49</f>
        <v>*</v>
      </c>
      <c r="R49" s="177">
        <f>AX49</f>
        <v>3392</v>
      </c>
      <c r="S49" s="177">
        <f t="shared" si="79"/>
        <v>15210</v>
      </c>
      <c r="T49" s="177">
        <f t="shared" si="80"/>
        <v>5129</v>
      </c>
      <c r="U49" s="179">
        <f t="shared" si="81"/>
        <v>11930</v>
      </c>
      <c r="V49" s="177">
        <f>BG49+BJ49</f>
        <v>4810</v>
      </c>
      <c r="W49" s="177">
        <f t="shared" si="82"/>
        <v>8680</v>
      </c>
      <c r="X49" s="177">
        <f>BI49</f>
        <v>4163</v>
      </c>
      <c r="Y49" s="177">
        <f>BK49+BN49</f>
        <v>5602</v>
      </c>
      <c r="Z49" s="177">
        <f t="shared" si="83"/>
        <v>3542</v>
      </c>
      <c r="AA49" s="177">
        <f>BQ49</f>
        <v>1825</v>
      </c>
      <c r="AB49" s="179">
        <f t="shared" si="84"/>
        <v>8711</v>
      </c>
      <c r="AC49" s="177">
        <f t="shared" si="85"/>
        <v>4487</v>
      </c>
      <c r="AD49" s="177">
        <f t="shared" si="86"/>
        <v>2542</v>
      </c>
      <c r="AE49" s="177">
        <f>BS49+BT49</f>
        <v>10824</v>
      </c>
      <c r="AF49" s="177">
        <f t="shared" si="87"/>
        <v>6289</v>
      </c>
      <c r="AG49" s="177">
        <f t="shared" si="88"/>
        <v>8615</v>
      </c>
      <c r="AH49" s="177">
        <f t="shared" si="89"/>
        <v>4780</v>
      </c>
      <c r="AI49" s="177">
        <f t="shared" si="90"/>
        <v>8579</v>
      </c>
      <c r="AJ49" s="177">
        <f t="shared" si="91"/>
        <v>5877</v>
      </c>
      <c r="AK49" s="179">
        <f t="shared" si="92"/>
        <v>6308</v>
      </c>
      <c r="AL49" s="177">
        <f t="shared" si="93"/>
        <v>16954</v>
      </c>
      <c r="AM49" s="177">
        <f t="shared" si="94"/>
        <v>6344</v>
      </c>
      <c r="AN49" s="177">
        <f t="shared" si="95"/>
        <v>5993</v>
      </c>
      <c r="AO49" s="177">
        <f t="shared" si="96"/>
        <v>21478</v>
      </c>
      <c r="AP49" s="177">
        <f t="shared" si="97"/>
        <v>6610</v>
      </c>
      <c r="AQ49" s="177">
        <f t="shared" si="98"/>
        <v>5780</v>
      </c>
      <c r="AR49" s="177">
        <f t="shared" si="99"/>
        <v>5166</v>
      </c>
      <c r="AS49" s="178">
        <f>CF49+CG49</f>
        <v>12227</v>
      </c>
      <c r="AT49" s="181" t="s">
        <v>252</v>
      </c>
      <c r="AU49" s="177" t="s">
        <v>252</v>
      </c>
      <c r="AV49" s="181">
        <v>15210</v>
      </c>
      <c r="AW49" s="181">
        <v>10904</v>
      </c>
      <c r="AX49" s="181">
        <v>3392</v>
      </c>
      <c r="AY49" s="177">
        <v>7878</v>
      </c>
      <c r="AZ49" s="177">
        <v>0</v>
      </c>
      <c r="BA49" s="177">
        <v>8353</v>
      </c>
      <c r="BB49" s="177">
        <v>5129</v>
      </c>
      <c r="BC49" s="177">
        <v>11930</v>
      </c>
      <c r="BD49" s="177">
        <v>5265</v>
      </c>
      <c r="BE49" s="177">
        <v>9890</v>
      </c>
      <c r="BF49" s="179">
        <v>11991</v>
      </c>
      <c r="BG49" s="177">
        <v>1814</v>
      </c>
      <c r="BH49" s="177" t="s">
        <v>252</v>
      </c>
      <c r="BI49" s="177">
        <v>4163</v>
      </c>
      <c r="BJ49" s="177">
        <v>2996</v>
      </c>
      <c r="BK49" s="177">
        <v>107</v>
      </c>
      <c r="BL49" s="177" t="s">
        <v>252</v>
      </c>
      <c r="BM49" s="177">
        <v>3542</v>
      </c>
      <c r="BN49" s="177">
        <v>5495</v>
      </c>
      <c r="BO49" s="177" t="s">
        <v>252</v>
      </c>
      <c r="BP49" s="177">
        <v>8711</v>
      </c>
      <c r="BQ49" s="177">
        <v>1825</v>
      </c>
      <c r="BR49" s="179">
        <v>8680</v>
      </c>
      <c r="BS49" s="177">
        <v>3705</v>
      </c>
      <c r="BT49" s="177">
        <v>7119</v>
      </c>
      <c r="BU49" s="177">
        <v>2542</v>
      </c>
      <c r="BV49" s="177">
        <v>8615</v>
      </c>
      <c r="BW49" s="177">
        <v>8579</v>
      </c>
      <c r="BX49" s="177">
        <v>4487</v>
      </c>
      <c r="BY49" s="177">
        <v>5877</v>
      </c>
      <c r="BZ49" s="177">
        <v>4780</v>
      </c>
      <c r="CA49" s="177">
        <v>6289</v>
      </c>
      <c r="CB49" s="179">
        <v>6308</v>
      </c>
      <c r="CC49" s="177">
        <v>21478</v>
      </c>
      <c r="CD49" s="177">
        <v>6610</v>
      </c>
      <c r="CE49" s="177">
        <v>16954</v>
      </c>
      <c r="CF49" s="177">
        <v>372</v>
      </c>
      <c r="CG49" s="177">
        <v>11855</v>
      </c>
      <c r="CH49" s="177">
        <v>6344</v>
      </c>
      <c r="CI49" s="177">
        <v>5166</v>
      </c>
      <c r="CJ49" s="177">
        <v>5993</v>
      </c>
      <c r="CK49" s="178">
        <v>5780</v>
      </c>
      <c r="CL49" s="180">
        <v>274311</v>
      </c>
    </row>
    <row r="50" spans="1:90">
      <c r="A50" s="93">
        <f>ROWS($A$3:A48)</f>
        <v>46</v>
      </c>
      <c r="B50" s="106" t="s">
        <v>81</v>
      </c>
      <c r="C50" s="242">
        <v>2007</v>
      </c>
      <c r="D50" s="314" t="s">
        <v>22</v>
      </c>
      <c r="E50" s="333"/>
      <c r="F50" s="156">
        <v>81</v>
      </c>
      <c r="G50" s="177">
        <v>45</v>
      </c>
      <c r="H50" s="177">
        <v>63</v>
      </c>
      <c r="I50" s="178">
        <v>95</v>
      </c>
      <c r="J50" s="181"/>
      <c r="K50" s="156">
        <f t="shared" si="74"/>
        <v>111</v>
      </c>
      <c r="L50" s="177">
        <f t="shared" si="75"/>
        <v>81</v>
      </c>
      <c r="M50" s="177">
        <f t="shared" si="76"/>
        <v>48</v>
      </c>
      <c r="N50" s="177">
        <f t="shared" si="77"/>
        <v>98</v>
      </c>
      <c r="O50" s="177">
        <f t="shared" si="78"/>
        <v>91</v>
      </c>
      <c r="P50" s="183">
        <f>(AZ50*AZ35+BA50*BA35)/P35</f>
        <v>30.653188206771443</v>
      </c>
      <c r="Q50" s="177">
        <f>'2008'!AU50</f>
        <v>53</v>
      </c>
      <c r="R50" s="183">
        <f>(AT50*AT35+AX50*AX35)/R35</f>
        <v>53.913272722090802</v>
      </c>
      <c r="S50" s="177">
        <f t="shared" si="79"/>
        <v>58</v>
      </c>
      <c r="T50" s="177">
        <f t="shared" si="80"/>
        <v>94</v>
      </c>
      <c r="U50" s="179">
        <f t="shared" si="81"/>
        <v>130</v>
      </c>
      <c r="V50" s="183">
        <f>(BG50*BG35+BJ50*BJ35)/V35</f>
        <v>23.895006016847173</v>
      </c>
      <c r="W50" s="177">
        <f t="shared" si="82"/>
        <v>66</v>
      </c>
      <c r="X50" s="183">
        <f>(BH50*BH35+BI50*BI35)/X35</f>
        <v>23</v>
      </c>
      <c r="Y50" s="183">
        <f>(BK50*BK35+BL50*BL35+BN50*BN35)/Y35</f>
        <v>41.784437531918847</v>
      </c>
      <c r="Z50" s="177">
        <f t="shared" si="83"/>
        <v>55</v>
      </c>
      <c r="AA50" s="183">
        <f>(BO50*BO35+BQ50*BQ35)/AA35</f>
        <v>51.704883859440145</v>
      </c>
      <c r="AB50" s="179">
        <f t="shared" si="84"/>
        <v>67</v>
      </c>
      <c r="AC50" s="177">
        <f t="shared" si="85"/>
        <v>73</v>
      </c>
      <c r="AD50" s="177">
        <f t="shared" si="86"/>
        <v>61</v>
      </c>
      <c r="AE50" s="183">
        <f>(BS50*BS35+BT50*BT35)/AE35</f>
        <v>54.127943602819862</v>
      </c>
      <c r="AF50" s="177">
        <f t="shared" si="87"/>
        <v>64</v>
      </c>
      <c r="AG50" s="177">
        <f t="shared" si="88"/>
        <v>52</v>
      </c>
      <c r="AH50" s="177">
        <f t="shared" si="89"/>
        <v>69</v>
      </c>
      <c r="AI50" s="177">
        <f t="shared" si="90"/>
        <v>65</v>
      </c>
      <c r="AJ50" s="177">
        <f t="shared" si="91"/>
        <v>60</v>
      </c>
      <c r="AK50" s="179">
        <f t="shared" si="92"/>
        <v>80</v>
      </c>
      <c r="AL50" s="177">
        <f t="shared" si="93"/>
        <v>42</v>
      </c>
      <c r="AM50" s="177">
        <f t="shared" si="94"/>
        <v>115</v>
      </c>
      <c r="AN50" s="177">
        <f t="shared" si="95"/>
        <v>142</v>
      </c>
      <c r="AO50" s="177">
        <f t="shared" si="96"/>
        <v>67</v>
      </c>
      <c r="AP50" s="177">
        <f t="shared" si="97"/>
        <v>39</v>
      </c>
      <c r="AQ50" s="177">
        <f t="shared" si="98"/>
        <v>79</v>
      </c>
      <c r="AR50" s="177">
        <f t="shared" si="99"/>
        <v>72</v>
      </c>
      <c r="AS50" s="184">
        <f>(CF50*CF35+CG50*CG35)/AS35</f>
        <v>98.34433179953362</v>
      </c>
      <c r="AT50" s="177">
        <v>40</v>
      </c>
      <c r="AU50" s="181">
        <v>53</v>
      </c>
      <c r="AV50" s="181">
        <v>58</v>
      </c>
      <c r="AW50" s="181">
        <v>98</v>
      </c>
      <c r="AX50" s="181">
        <v>55</v>
      </c>
      <c r="AY50" s="177">
        <v>81</v>
      </c>
      <c r="AZ50" s="177">
        <v>13</v>
      </c>
      <c r="BA50" s="177">
        <v>32</v>
      </c>
      <c r="BB50" s="177">
        <v>94</v>
      </c>
      <c r="BC50" s="177">
        <v>130</v>
      </c>
      <c r="BD50" s="177">
        <v>48</v>
      </c>
      <c r="BE50" s="177">
        <v>91</v>
      </c>
      <c r="BF50" s="179">
        <v>111</v>
      </c>
      <c r="BG50" s="177">
        <v>23</v>
      </c>
      <c r="BH50" s="177">
        <v>23</v>
      </c>
      <c r="BI50" s="177">
        <v>23</v>
      </c>
      <c r="BJ50" s="177">
        <v>24</v>
      </c>
      <c r="BK50" s="177">
        <v>43</v>
      </c>
      <c r="BL50" s="177">
        <v>24</v>
      </c>
      <c r="BM50" s="177">
        <v>55</v>
      </c>
      <c r="BN50" s="177">
        <v>43</v>
      </c>
      <c r="BO50" s="177">
        <v>46</v>
      </c>
      <c r="BP50" s="177">
        <v>67</v>
      </c>
      <c r="BQ50" s="177">
        <v>52</v>
      </c>
      <c r="BR50" s="179">
        <v>66</v>
      </c>
      <c r="BS50" s="177">
        <v>28</v>
      </c>
      <c r="BT50" s="177">
        <v>56</v>
      </c>
      <c r="BU50" s="177">
        <v>61</v>
      </c>
      <c r="BV50" s="177">
        <v>52</v>
      </c>
      <c r="BW50" s="177">
        <v>65</v>
      </c>
      <c r="BX50" s="177">
        <v>73</v>
      </c>
      <c r="BY50" s="177">
        <v>60</v>
      </c>
      <c r="BZ50" s="177">
        <v>69</v>
      </c>
      <c r="CA50" s="177">
        <v>64</v>
      </c>
      <c r="CB50" s="179">
        <v>80</v>
      </c>
      <c r="CC50" s="177">
        <v>67</v>
      </c>
      <c r="CD50" s="177">
        <v>39</v>
      </c>
      <c r="CE50" s="177">
        <v>42</v>
      </c>
      <c r="CF50" s="177">
        <v>88</v>
      </c>
      <c r="CG50" s="177">
        <v>99</v>
      </c>
      <c r="CH50" s="177">
        <v>115</v>
      </c>
      <c r="CI50" s="177">
        <v>72</v>
      </c>
      <c r="CJ50" s="177">
        <v>142</v>
      </c>
      <c r="CK50" s="178">
        <v>79</v>
      </c>
      <c r="CL50" s="180">
        <v>76</v>
      </c>
    </row>
    <row r="51" spans="1:90">
      <c r="A51" s="93">
        <f>ROWS($A$3:A49)</f>
        <v>47</v>
      </c>
      <c r="B51" s="62" t="s">
        <v>103</v>
      </c>
      <c r="C51" s="312">
        <f>C95</f>
        <v>2008</v>
      </c>
      <c r="D51" s="314" t="s">
        <v>10</v>
      </c>
      <c r="E51" s="316">
        <v>40441</v>
      </c>
      <c r="F51" s="182">
        <f>ROUND(F96/F95*1000,0)</f>
        <v>6189</v>
      </c>
      <c r="G51" s="183">
        <f>ROUND(G96/G95*1000,0)</f>
        <v>5800</v>
      </c>
      <c r="H51" s="183">
        <f>ROUND(H96/H95*1000,0)</f>
        <v>5483</v>
      </c>
      <c r="I51" s="184">
        <f>ROUND(I96/I95*1000,0)</f>
        <v>6312</v>
      </c>
      <c r="J51" s="181"/>
      <c r="K51" s="185">
        <f t="shared" si="74"/>
        <v>6547</v>
      </c>
      <c r="L51" s="186">
        <f t="shared" si="75"/>
        <v>6140</v>
      </c>
      <c r="M51" s="186">
        <f t="shared" si="76"/>
        <v>6070</v>
      </c>
      <c r="N51" s="186">
        <f t="shared" si="77"/>
        <v>5641</v>
      </c>
      <c r="O51" s="186">
        <f t="shared" si="78"/>
        <v>5931</v>
      </c>
      <c r="P51" s="183">
        <f>ROUND(P96/P95*1000,0)</f>
        <v>5937</v>
      </c>
      <c r="Q51" s="186">
        <f>'2008'!AU51</f>
        <v>5965</v>
      </c>
      <c r="R51" s="183">
        <f>ROUND(R96/R95*1000,0)</f>
        <v>5652</v>
      </c>
      <c r="S51" s="186">
        <f t="shared" si="79"/>
        <v>4808</v>
      </c>
      <c r="T51" s="186">
        <f t="shared" si="80"/>
        <v>6195</v>
      </c>
      <c r="U51" s="187">
        <f t="shared" si="81"/>
        <v>6486</v>
      </c>
      <c r="V51" s="183">
        <f>ROUND(V96/V95*1000,0)</f>
        <v>4312</v>
      </c>
      <c r="W51" s="186">
        <f t="shared" si="82"/>
        <v>5676</v>
      </c>
      <c r="X51" s="183">
        <f>ROUND(X96/X95*1000,0)</f>
        <v>4766</v>
      </c>
      <c r="Y51" s="183">
        <f>ROUND(Y96/Y95*1000,0)</f>
        <v>5783</v>
      </c>
      <c r="Z51" s="186">
        <f t="shared" si="83"/>
        <v>6089</v>
      </c>
      <c r="AA51" s="183">
        <f>ROUND(AA96/AA95*1000,0)</f>
        <v>6049</v>
      </c>
      <c r="AB51" s="187">
        <f t="shared" si="84"/>
        <v>5735</v>
      </c>
      <c r="AC51" s="186">
        <f t="shared" si="85"/>
        <v>5274</v>
      </c>
      <c r="AD51" s="186">
        <f t="shared" si="86"/>
        <v>4967</v>
      </c>
      <c r="AE51" s="183">
        <f>ROUND(AE96/AE95*1000,0)</f>
        <v>5502</v>
      </c>
      <c r="AF51" s="186">
        <f t="shared" si="87"/>
        <v>4804</v>
      </c>
      <c r="AG51" s="186">
        <f t="shared" si="88"/>
        <v>4629</v>
      </c>
      <c r="AH51" s="186">
        <f t="shared" si="89"/>
        <v>6408</v>
      </c>
      <c r="AI51" s="186">
        <f t="shared" si="90"/>
        <v>5198</v>
      </c>
      <c r="AJ51" s="186">
        <f t="shared" si="91"/>
        <v>6251</v>
      </c>
      <c r="AK51" s="187">
        <f t="shared" si="92"/>
        <v>5872</v>
      </c>
      <c r="AL51" s="186">
        <f t="shared" si="93"/>
        <v>6500</v>
      </c>
      <c r="AM51" s="186">
        <f t="shared" si="94"/>
        <v>6297</v>
      </c>
      <c r="AN51" s="186">
        <f t="shared" si="95"/>
        <v>6568</v>
      </c>
      <c r="AO51" s="186">
        <f t="shared" si="96"/>
        <v>5866</v>
      </c>
      <c r="AP51" s="186">
        <f t="shared" si="97"/>
        <v>5410</v>
      </c>
      <c r="AQ51" s="186">
        <f t="shared" si="98"/>
        <v>5897</v>
      </c>
      <c r="AR51" s="186">
        <f t="shared" si="99"/>
        <v>6003</v>
      </c>
      <c r="AS51" s="184">
        <f>ROUND(AS96/AS95*1000,0)</f>
        <v>6146</v>
      </c>
      <c r="AT51" s="183">
        <f>IF(ISERROR(AT96/AT95)=TRUE,0,ROUND(AT96/AT95*1000,0))</f>
        <v>5295</v>
      </c>
      <c r="AU51" s="183">
        <f t="shared" ref="AU51:CL51" si="102">IF(ISERROR(AU96/AU95)=TRUE,0,ROUND(AU96/AU95*1000,0))</f>
        <v>5965</v>
      </c>
      <c r="AV51" s="183">
        <f t="shared" si="102"/>
        <v>4808</v>
      </c>
      <c r="AW51" s="183">
        <f t="shared" si="102"/>
        <v>5641</v>
      </c>
      <c r="AX51" s="183">
        <f t="shared" si="102"/>
        <v>6146</v>
      </c>
      <c r="AY51" s="183">
        <f t="shared" si="102"/>
        <v>6140</v>
      </c>
      <c r="AZ51" s="183">
        <f t="shared" si="102"/>
        <v>3503</v>
      </c>
      <c r="BA51" s="183">
        <f t="shared" si="102"/>
        <v>6010</v>
      </c>
      <c r="BB51" s="183">
        <f t="shared" si="102"/>
        <v>6195</v>
      </c>
      <c r="BC51" s="183">
        <f t="shared" si="102"/>
        <v>6486</v>
      </c>
      <c r="BD51" s="183">
        <f t="shared" si="102"/>
        <v>6070</v>
      </c>
      <c r="BE51" s="183">
        <f t="shared" si="102"/>
        <v>5931</v>
      </c>
      <c r="BF51" s="188">
        <f t="shared" si="102"/>
        <v>6547</v>
      </c>
      <c r="BG51" s="183">
        <f t="shared" si="102"/>
        <v>0</v>
      </c>
      <c r="BH51" s="183">
        <f t="shared" si="102"/>
        <v>4135</v>
      </c>
      <c r="BI51" s="183">
        <f t="shared" si="102"/>
        <v>4804</v>
      </c>
      <c r="BJ51" s="183">
        <f t="shared" si="102"/>
        <v>4312</v>
      </c>
      <c r="BK51" s="183">
        <f t="shared" si="102"/>
        <v>4737</v>
      </c>
      <c r="BL51" s="183">
        <f t="shared" si="102"/>
        <v>3563</v>
      </c>
      <c r="BM51" s="183">
        <f t="shared" si="102"/>
        <v>6089</v>
      </c>
      <c r="BN51" s="183">
        <f t="shared" si="102"/>
        <v>5847</v>
      </c>
      <c r="BO51" s="183">
        <f t="shared" si="102"/>
        <v>2244</v>
      </c>
      <c r="BP51" s="183">
        <f t="shared" si="102"/>
        <v>5735</v>
      </c>
      <c r="BQ51" s="183">
        <f t="shared" si="102"/>
        <v>6154</v>
      </c>
      <c r="BR51" s="188">
        <f t="shared" si="102"/>
        <v>5676</v>
      </c>
      <c r="BS51" s="183">
        <f t="shared" si="102"/>
        <v>0</v>
      </c>
      <c r="BT51" s="183">
        <f t="shared" si="102"/>
        <v>5502</v>
      </c>
      <c r="BU51" s="183">
        <f t="shared" si="102"/>
        <v>4967</v>
      </c>
      <c r="BV51" s="183">
        <f t="shared" si="102"/>
        <v>4629</v>
      </c>
      <c r="BW51" s="183">
        <f t="shared" si="102"/>
        <v>5198</v>
      </c>
      <c r="BX51" s="183">
        <f t="shared" si="102"/>
        <v>5274</v>
      </c>
      <c r="BY51" s="183">
        <f t="shared" si="102"/>
        <v>6251</v>
      </c>
      <c r="BZ51" s="183">
        <f t="shared" si="102"/>
        <v>6408</v>
      </c>
      <c r="CA51" s="183">
        <f t="shared" si="102"/>
        <v>4804</v>
      </c>
      <c r="CB51" s="188">
        <f t="shared" si="102"/>
        <v>5872</v>
      </c>
      <c r="CC51" s="183">
        <f t="shared" si="102"/>
        <v>5866</v>
      </c>
      <c r="CD51" s="183">
        <f t="shared" si="102"/>
        <v>5410</v>
      </c>
      <c r="CE51" s="183">
        <f t="shared" si="102"/>
        <v>6500</v>
      </c>
      <c r="CF51" s="183">
        <f t="shared" si="102"/>
        <v>7285</v>
      </c>
      <c r="CG51" s="183">
        <f t="shared" si="102"/>
        <v>6095</v>
      </c>
      <c r="CH51" s="183">
        <f t="shared" si="102"/>
        <v>6297</v>
      </c>
      <c r="CI51" s="183">
        <f t="shared" si="102"/>
        <v>6003</v>
      </c>
      <c r="CJ51" s="183">
        <f t="shared" si="102"/>
        <v>6568</v>
      </c>
      <c r="CK51" s="184">
        <f t="shared" si="102"/>
        <v>5897</v>
      </c>
      <c r="CL51" s="189">
        <f t="shared" si="102"/>
        <v>6082</v>
      </c>
    </row>
    <row r="52" spans="1:90">
      <c r="A52" s="93">
        <f>ROWS($A$3:A50)</f>
        <v>48</v>
      </c>
      <c r="B52" s="62" t="s">
        <v>104</v>
      </c>
      <c r="C52" s="312"/>
      <c r="D52" s="314" t="s">
        <v>11</v>
      </c>
      <c r="E52" s="316">
        <v>40441</v>
      </c>
      <c r="F52" s="182">
        <f>F97</f>
        <v>603900</v>
      </c>
      <c r="G52" s="183">
        <f>G97</f>
        <v>138347</v>
      </c>
      <c r="H52" s="183">
        <f>H97</f>
        <v>352711</v>
      </c>
      <c r="I52" s="184">
        <f>I97</f>
        <v>981472</v>
      </c>
      <c r="J52" s="181"/>
      <c r="K52" s="185">
        <f t="shared" si="74"/>
        <v>155074</v>
      </c>
      <c r="L52" s="186">
        <f t="shared" si="75"/>
        <v>41053</v>
      </c>
      <c r="M52" s="186">
        <f t="shared" si="76"/>
        <v>43478</v>
      </c>
      <c r="N52" s="186">
        <f t="shared" si="77"/>
        <v>55266</v>
      </c>
      <c r="O52" s="186">
        <f t="shared" si="78"/>
        <v>43767</v>
      </c>
      <c r="P52" s="183">
        <f>AZ52+BA52</f>
        <v>28830</v>
      </c>
      <c r="Q52" s="186">
        <f>'2009'!AU52</f>
        <v>16912</v>
      </c>
      <c r="R52" s="183">
        <f>AT52+AX52</f>
        <v>29526</v>
      </c>
      <c r="S52" s="186">
        <f t="shared" si="79"/>
        <v>12840</v>
      </c>
      <c r="T52" s="186">
        <f t="shared" si="80"/>
        <v>43685</v>
      </c>
      <c r="U52" s="187">
        <f t="shared" si="81"/>
        <v>133375</v>
      </c>
      <c r="V52" s="183">
        <f>BG52+BJ52</f>
        <v>1976</v>
      </c>
      <c r="W52" s="186">
        <f t="shared" si="82"/>
        <v>21466</v>
      </c>
      <c r="X52" s="183">
        <f>BH52+BI52</f>
        <v>7001</v>
      </c>
      <c r="Y52" s="183">
        <f>BK52+BL52+BN52</f>
        <v>22899</v>
      </c>
      <c r="Z52" s="186">
        <f t="shared" si="83"/>
        <v>48317</v>
      </c>
      <c r="AA52" s="183">
        <f>BO52+BQ52</f>
        <v>16733</v>
      </c>
      <c r="AB52" s="187">
        <f t="shared" si="84"/>
        <v>19955</v>
      </c>
      <c r="AC52" s="186">
        <f t="shared" si="85"/>
        <v>58748</v>
      </c>
      <c r="AD52" s="186">
        <f t="shared" si="86"/>
        <v>17428</v>
      </c>
      <c r="AE52" s="183">
        <f>BS52+BT52</f>
        <v>53636</v>
      </c>
      <c r="AF52" s="186">
        <f t="shared" si="87"/>
        <v>17518</v>
      </c>
      <c r="AG52" s="186">
        <f t="shared" si="88"/>
        <v>38241</v>
      </c>
      <c r="AH52" s="186">
        <f t="shared" si="89"/>
        <v>54696</v>
      </c>
      <c r="AI52" s="186">
        <f t="shared" si="90"/>
        <v>26720</v>
      </c>
      <c r="AJ52" s="186">
        <f t="shared" si="91"/>
        <v>30031</v>
      </c>
      <c r="AK52" s="187">
        <f t="shared" si="92"/>
        <v>55693</v>
      </c>
      <c r="AL52" s="186">
        <f t="shared" si="93"/>
        <v>19734</v>
      </c>
      <c r="AM52" s="186">
        <f t="shared" si="94"/>
        <v>212304</v>
      </c>
      <c r="AN52" s="186">
        <f t="shared" si="95"/>
        <v>435692</v>
      </c>
      <c r="AO52" s="186">
        <f t="shared" si="96"/>
        <v>48954</v>
      </c>
      <c r="AP52" s="186">
        <f t="shared" si="97"/>
        <v>9167</v>
      </c>
      <c r="AQ52" s="186">
        <f t="shared" si="98"/>
        <v>75781</v>
      </c>
      <c r="AR52" s="186">
        <f t="shared" si="99"/>
        <v>63850</v>
      </c>
      <c r="AS52" s="184">
        <f>CF52+CG52</f>
        <v>115990</v>
      </c>
      <c r="AT52" s="183">
        <f t="shared" ref="AT52:BF52" si="103">AT97</f>
        <v>2059</v>
      </c>
      <c r="AU52" s="183">
        <f t="shared" si="103"/>
        <v>17006</v>
      </c>
      <c r="AV52" s="183">
        <f t="shared" si="103"/>
        <v>12840</v>
      </c>
      <c r="AW52" s="183">
        <f t="shared" si="103"/>
        <v>55266</v>
      </c>
      <c r="AX52" s="183">
        <f t="shared" si="103"/>
        <v>27467</v>
      </c>
      <c r="AY52" s="183">
        <f t="shared" si="103"/>
        <v>41053</v>
      </c>
      <c r="AZ52" s="183">
        <f t="shared" si="103"/>
        <v>483</v>
      </c>
      <c r="BA52" s="183">
        <f t="shared" si="103"/>
        <v>28347</v>
      </c>
      <c r="BB52" s="183">
        <f t="shared" si="103"/>
        <v>43685</v>
      </c>
      <c r="BC52" s="183">
        <f t="shared" si="103"/>
        <v>133375</v>
      </c>
      <c r="BD52" s="183">
        <f t="shared" si="103"/>
        <v>43478</v>
      </c>
      <c r="BE52" s="183">
        <f t="shared" si="103"/>
        <v>43767</v>
      </c>
      <c r="BF52" s="188">
        <f t="shared" si="103"/>
        <v>155074</v>
      </c>
      <c r="BG52" s="183">
        <v>0</v>
      </c>
      <c r="BH52" s="183">
        <f t="shared" ref="BH52:CK52" si="104">BH97</f>
        <v>354</v>
      </c>
      <c r="BI52" s="183">
        <f t="shared" si="104"/>
        <v>6647</v>
      </c>
      <c r="BJ52" s="183">
        <f t="shared" si="104"/>
        <v>1976</v>
      </c>
      <c r="BK52" s="183">
        <f t="shared" si="104"/>
        <v>959</v>
      </c>
      <c r="BL52" s="183">
        <f t="shared" si="104"/>
        <v>55</v>
      </c>
      <c r="BM52" s="183">
        <f t="shared" si="104"/>
        <v>48317</v>
      </c>
      <c r="BN52" s="183">
        <f t="shared" si="104"/>
        <v>21885</v>
      </c>
      <c r="BO52" s="183">
        <f t="shared" si="104"/>
        <v>175</v>
      </c>
      <c r="BP52" s="183">
        <f t="shared" si="104"/>
        <v>19955</v>
      </c>
      <c r="BQ52" s="183">
        <f t="shared" si="104"/>
        <v>16558</v>
      </c>
      <c r="BR52" s="188">
        <f t="shared" si="104"/>
        <v>21466</v>
      </c>
      <c r="BS52" s="183">
        <f t="shared" si="104"/>
        <v>0</v>
      </c>
      <c r="BT52" s="183">
        <f t="shared" si="104"/>
        <v>53636</v>
      </c>
      <c r="BU52" s="183">
        <f t="shared" si="104"/>
        <v>17428</v>
      </c>
      <c r="BV52" s="183">
        <f t="shared" si="104"/>
        <v>38241</v>
      </c>
      <c r="BW52" s="183">
        <f t="shared" si="104"/>
        <v>26720</v>
      </c>
      <c r="BX52" s="183">
        <f t="shared" si="104"/>
        <v>58748</v>
      </c>
      <c r="BY52" s="183">
        <f t="shared" si="104"/>
        <v>30031</v>
      </c>
      <c r="BZ52" s="183">
        <f t="shared" si="104"/>
        <v>54696</v>
      </c>
      <c r="CA52" s="183">
        <f t="shared" si="104"/>
        <v>17518</v>
      </c>
      <c r="CB52" s="188">
        <f t="shared" si="104"/>
        <v>55693</v>
      </c>
      <c r="CC52" s="183">
        <f t="shared" si="104"/>
        <v>48954</v>
      </c>
      <c r="CD52" s="183">
        <f t="shared" si="104"/>
        <v>9167</v>
      </c>
      <c r="CE52" s="183">
        <f t="shared" si="104"/>
        <v>19734</v>
      </c>
      <c r="CF52" s="183">
        <f t="shared" si="104"/>
        <v>6133</v>
      </c>
      <c r="CG52" s="183">
        <f t="shared" si="104"/>
        <v>109857</v>
      </c>
      <c r="CH52" s="183">
        <f t="shared" si="104"/>
        <v>212304</v>
      </c>
      <c r="CI52" s="183">
        <f t="shared" si="104"/>
        <v>63850</v>
      </c>
      <c r="CJ52" s="183">
        <f t="shared" si="104"/>
        <v>435692</v>
      </c>
      <c r="CK52" s="184">
        <f t="shared" si="104"/>
        <v>75781</v>
      </c>
      <c r="CL52" s="189">
        <v>2117936</v>
      </c>
    </row>
    <row r="53" spans="1:90">
      <c r="A53" s="93">
        <f>ROWS($A$3:A51)</f>
        <v>49</v>
      </c>
      <c r="B53" s="62" t="str">
        <f>"Änderung der Milchanlieferung "&amp;C95&amp;" / "&amp;C98</f>
        <v>Änderung der Milchanlieferung 2008 / 2001</v>
      </c>
      <c r="C53" s="312"/>
      <c r="D53" s="314" t="s">
        <v>4</v>
      </c>
      <c r="E53" s="316">
        <v>40441</v>
      </c>
      <c r="F53" s="207">
        <v>-0.55500000000000005</v>
      </c>
      <c r="G53" s="208">
        <v>-3.7679999999999998</v>
      </c>
      <c r="H53" s="208">
        <v>-0.80600000000000005</v>
      </c>
      <c r="I53" s="209">
        <v>-1.0680000000000001</v>
      </c>
      <c r="J53" s="213"/>
      <c r="K53" s="218">
        <f t="shared" si="74"/>
        <v>2.8942619034980628</v>
      </c>
      <c r="L53" s="219">
        <f t="shared" si="75"/>
        <v>-4.1041812660593315</v>
      </c>
      <c r="M53" s="219">
        <f t="shared" si="76"/>
        <v>-5.4229840551652133</v>
      </c>
      <c r="N53" s="219">
        <f t="shared" si="77"/>
        <v>-4.3046128272613933</v>
      </c>
      <c r="O53" s="219">
        <f t="shared" si="78"/>
        <v>3.9620893607924179</v>
      </c>
      <c r="P53" s="208">
        <f>(P52-P99)/P99%</f>
        <v>-16.006292972846985</v>
      </c>
      <c r="Q53" s="219">
        <f>'2008'!AU53</f>
        <v>-7.7615664153604165</v>
      </c>
      <c r="R53" s="208">
        <f>(R52-R99)/R99%</f>
        <v>-6.8580441640378549</v>
      </c>
      <c r="S53" s="219">
        <f t="shared" si="79"/>
        <v>-12.307061876792789</v>
      </c>
      <c r="T53" s="219">
        <f t="shared" si="80"/>
        <v>-2.9373208611993689</v>
      </c>
      <c r="U53" s="220">
        <f t="shared" si="81"/>
        <v>-1.503570610954797</v>
      </c>
      <c r="V53" s="208">
        <f>(V52-V99)/V99%</f>
        <v>-29.804618117229133</v>
      </c>
      <c r="W53" s="219">
        <f t="shared" si="82"/>
        <v>-2.7102973168963018</v>
      </c>
      <c r="X53" s="208">
        <f>(X52-X99)/X99%</f>
        <v>-20.587568058076226</v>
      </c>
      <c r="Y53" s="208">
        <f>(Y52-Y99)/Y99%</f>
        <v>-11.60052501544163</v>
      </c>
      <c r="Z53" s="219">
        <f t="shared" si="83"/>
        <v>-6.6338164251207727</v>
      </c>
      <c r="AA53" s="208">
        <f>(AA52-AA99)/AA99%</f>
        <v>3.1882091761223483</v>
      </c>
      <c r="AB53" s="220">
        <f t="shared" si="84"/>
        <v>-7.0130475302889099</v>
      </c>
      <c r="AC53" s="219">
        <f t="shared" si="85"/>
        <v>-4.9200492004920049</v>
      </c>
      <c r="AD53" s="219">
        <f t="shared" si="86"/>
        <v>-10.386672151378034</v>
      </c>
      <c r="AE53" s="208">
        <f>(AE52-AE99)/AE99%</f>
        <v>-2.8913873952166274</v>
      </c>
      <c r="AF53" s="219">
        <f t="shared" si="87"/>
        <v>-12.212478075670257</v>
      </c>
      <c r="AG53" s="219">
        <f t="shared" si="88"/>
        <v>-14.150053879310345</v>
      </c>
      <c r="AH53" s="219">
        <f t="shared" si="89"/>
        <v>2.0390649777064715</v>
      </c>
      <c r="AI53" s="219">
        <f t="shared" si="90"/>
        <v>-9.1280097945857701</v>
      </c>
      <c r="AJ53" s="219">
        <f t="shared" si="91"/>
        <v>5.3054211375271754</v>
      </c>
      <c r="AK53" s="220">
        <f t="shared" si="92"/>
        <v>2.935033730708807</v>
      </c>
      <c r="AL53" s="219">
        <f t="shared" si="93"/>
        <v>3.8194444444444442</v>
      </c>
      <c r="AM53" s="219">
        <f t="shared" si="94"/>
        <v>-3.4942338550213421</v>
      </c>
      <c r="AN53" s="219">
        <f t="shared" si="95"/>
        <v>-0.44329482304767481</v>
      </c>
      <c r="AO53" s="219">
        <f t="shared" si="96"/>
        <v>-5.7960974483316017</v>
      </c>
      <c r="AP53" s="219">
        <f t="shared" si="97"/>
        <v>-2.9227999576405801</v>
      </c>
      <c r="AQ53" s="219">
        <f t="shared" si="98"/>
        <v>-5.4191680291551734</v>
      </c>
      <c r="AR53" s="219">
        <f t="shared" si="99"/>
        <v>-10.792874607055536</v>
      </c>
      <c r="AS53" s="209">
        <f>(AS52-AS99)/AS99%</f>
        <v>-2.9770219742532351</v>
      </c>
      <c r="AT53" s="208">
        <f t="shared" ref="AT53:CK53" si="105">IF(AT52=0,0,(AT52-AT99)/AT99%)</f>
        <v>-4.8081368469717987</v>
      </c>
      <c r="AU53" s="208">
        <f t="shared" si="105"/>
        <v>-7.7615664153604165</v>
      </c>
      <c r="AV53" s="208">
        <f t="shared" si="105"/>
        <v>-12.307061876792789</v>
      </c>
      <c r="AW53" s="208">
        <f t="shared" si="105"/>
        <v>-4.3046128272613933</v>
      </c>
      <c r="AX53" s="208">
        <f t="shared" si="105"/>
        <v>-7.0081592578799468</v>
      </c>
      <c r="AY53" s="208">
        <f t="shared" si="105"/>
        <v>-4.1041812660593315</v>
      </c>
      <c r="AZ53" s="208">
        <f t="shared" si="105"/>
        <v>-41.94711538461538</v>
      </c>
      <c r="BA53" s="208">
        <f t="shared" si="105"/>
        <v>-15.36187746327481</v>
      </c>
      <c r="BB53" s="208">
        <f t="shared" si="105"/>
        <v>-2.9373208611993689</v>
      </c>
      <c r="BC53" s="208">
        <f t="shared" si="105"/>
        <v>-1.503570610954797</v>
      </c>
      <c r="BD53" s="208">
        <f t="shared" si="105"/>
        <v>-5.4229840551652133</v>
      </c>
      <c r="BE53" s="208">
        <f t="shared" si="105"/>
        <v>3.9620893607924179</v>
      </c>
      <c r="BF53" s="216">
        <f t="shared" si="105"/>
        <v>2.8942619034980628</v>
      </c>
      <c r="BG53" s="208">
        <f t="shared" si="105"/>
        <v>0</v>
      </c>
      <c r="BH53" s="208">
        <f t="shared" si="105"/>
        <v>-29.2</v>
      </c>
      <c r="BI53" s="208">
        <f t="shared" si="105"/>
        <v>-20.069745069745071</v>
      </c>
      <c r="BJ53" s="208">
        <f t="shared" si="105"/>
        <v>-29.804618117229133</v>
      </c>
      <c r="BK53" s="208">
        <f t="shared" si="105"/>
        <v>-42.124321062160533</v>
      </c>
      <c r="BL53" s="208">
        <f t="shared" si="105"/>
        <v>-66.25766871165645</v>
      </c>
      <c r="BM53" s="208">
        <f t="shared" si="105"/>
        <v>-6.6338164251207727</v>
      </c>
      <c r="BN53" s="208">
        <f t="shared" si="105"/>
        <v>-9.1305430991529644</v>
      </c>
      <c r="BO53" s="208">
        <f t="shared" si="105"/>
        <v>-63.312368972746334</v>
      </c>
      <c r="BP53" s="208">
        <f t="shared" si="105"/>
        <v>-7.0130475302889099</v>
      </c>
      <c r="BQ53" s="208">
        <f t="shared" si="105"/>
        <v>5.2036342842620247</v>
      </c>
      <c r="BR53" s="216">
        <f t="shared" si="105"/>
        <v>-2.7102973168963018</v>
      </c>
      <c r="BS53" s="208">
        <f t="shared" si="105"/>
        <v>0</v>
      </c>
      <c r="BT53" s="208">
        <f t="shared" si="105"/>
        <v>-2.8913873952166274</v>
      </c>
      <c r="BU53" s="208">
        <f t="shared" si="105"/>
        <v>-10.386672151378034</v>
      </c>
      <c r="BV53" s="208">
        <f t="shared" si="105"/>
        <v>-14.150053879310345</v>
      </c>
      <c r="BW53" s="208">
        <f t="shared" si="105"/>
        <v>-9.1280097945857701</v>
      </c>
      <c r="BX53" s="208">
        <f t="shared" si="105"/>
        <v>-4.9200492004920049</v>
      </c>
      <c r="BY53" s="208">
        <f t="shared" si="105"/>
        <v>5.3054211375271754</v>
      </c>
      <c r="BZ53" s="208">
        <f t="shared" si="105"/>
        <v>2.0390649777064715</v>
      </c>
      <c r="CA53" s="208">
        <f t="shared" si="105"/>
        <v>-12.212478075670257</v>
      </c>
      <c r="CB53" s="216">
        <f t="shared" si="105"/>
        <v>2.935033730708807</v>
      </c>
      <c r="CC53" s="208">
        <f t="shared" si="105"/>
        <v>-5.7960974483316017</v>
      </c>
      <c r="CD53" s="208">
        <f t="shared" si="105"/>
        <v>-2.9227999576405801</v>
      </c>
      <c r="CE53" s="208">
        <f t="shared" si="105"/>
        <v>3.8194444444444442</v>
      </c>
      <c r="CF53" s="208">
        <f t="shared" si="105"/>
        <v>-0.35743298131600326</v>
      </c>
      <c r="CG53" s="208">
        <f t="shared" si="105"/>
        <v>-3.1192126567543257</v>
      </c>
      <c r="CH53" s="208">
        <f t="shared" si="105"/>
        <v>-3.4942338550213421</v>
      </c>
      <c r="CI53" s="208">
        <f t="shared" si="105"/>
        <v>-10.792874607055536</v>
      </c>
      <c r="CJ53" s="208">
        <f t="shared" si="105"/>
        <v>-0.44329482304767481</v>
      </c>
      <c r="CK53" s="209">
        <f t="shared" si="105"/>
        <v>-5.4191680291551734</v>
      </c>
      <c r="CL53" s="217">
        <v>0.53</v>
      </c>
    </row>
    <row r="54" spans="1:90">
      <c r="A54" s="93">
        <f>ROWS($A$3:A52)</f>
        <v>50</v>
      </c>
      <c r="B54" s="107" t="str">
        <f>"Änderung Anzahl Milchkühe "&amp;C95&amp;" / "&amp;C98</f>
        <v>Änderung Anzahl Milchkühe 2008 / 2001</v>
      </c>
      <c r="C54" s="313"/>
      <c r="D54" s="315" t="s">
        <v>4</v>
      </c>
      <c r="E54" s="317">
        <v>40441</v>
      </c>
      <c r="F54" s="221">
        <f>ROUND((F95-F98)/F98%,3)</f>
        <v>-15.077</v>
      </c>
      <c r="G54" s="222">
        <f>ROUND((G95-G98)/G98%,3)</f>
        <v>-16.677</v>
      </c>
      <c r="H54" s="222">
        <f>ROUND((H95-H98)/H98%,3)</f>
        <v>-15.558</v>
      </c>
      <c r="I54" s="223">
        <f>ROUND((I95-I98)/I98%,3)</f>
        <v>-12.977</v>
      </c>
      <c r="J54" s="346"/>
      <c r="K54" s="224">
        <f t="shared" si="74"/>
        <v>-13.090999999999999</v>
      </c>
      <c r="L54" s="225">
        <f t="shared" si="75"/>
        <v>-17.587</v>
      </c>
      <c r="M54" s="225">
        <f t="shared" si="76"/>
        <v>-20.67</v>
      </c>
      <c r="N54" s="225">
        <f t="shared" si="77"/>
        <v>-13.417999999999999</v>
      </c>
      <c r="O54" s="225">
        <f t="shared" si="78"/>
        <v>-11.045</v>
      </c>
      <c r="P54" s="222">
        <f>ROUND((P95-P98)/P98%,3)</f>
        <v>-23.215</v>
      </c>
      <c r="Q54" s="225">
        <f>'2008'!AU54</f>
        <v>-15.266999999999999</v>
      </c>
      <c r="R54" s="222">
        <f>ROUND((R95-R98)/R98%,3)</f>
        <v>-18.524999999999999</v>
      </c>
      <c r="S54" s="225">
        <f t="shared" si="79"/>
        <v>-19.544</v>
      </c>
      <c r="T54" s="225">
        <f t="shared" si="80"/>
        <v>-16.832000000000001</v>
      </c>
      <c r="U54" s="226">
        <f t="shared" si="81"/>
        <v>-12.271000000000001</v>
      </c>
      <c r="V54" s="222">
        <f>ROUND((V95-V98)/V98%,3)</f>
        <v>-32.606000000000002</v>
      </c>
      <c r="W54" s="225">
        <f t="shared" si="82"/>
        <v>-15.555999999999999</v>
      </c>
      <c r="X54" s="222">
        <f>ROUND((X95-X98)/X98%,3)</f>
        <v>-25.736999999999998</v>
      </c>
      <c r="Y54" s="222">
        <f>ROUND((Y95-Y98)/Y98%,3)</f>
        <v>-19.440000000000001</v>
      </c>
      <c r="Z54" s="225">
        <f t="shared" si="83"/>
        <v>-13.868</v>
      </c>
      <c r="AA54" s="222">
        <f>ROUND((AA95-AA98)/AA98%,3)</f>
        <v>-11.72</v>
      </c>
      <c r="AB54" s="226">
        <f t="shared" si="84"/>
        <v>-17.562000000000001</v>
      </c>
      <c r="AC54" s="225">
        <f t="shared" si="85"/>
        <v>-12.337999999999999</v>
      </c>
      <c r="AD54" s="225">
        <f t="shared" si="86"/>
        <v>-16.385999999999999</v>
      </c>
      <c r="AE54" s="222">
        <f>ROUND((AE95-AE98)/AE98%,3)</f>
        <v>-16.420999999999999</v>
      </c>
      <c r="AF54" s="225">
        <f t="shared" si="87"/>
        <v>-21.422000000000001</v>
      </c>
      <c r="AG54" s="225">
        <f t="shared" si="88"/>
        <v>-20.622</v>
      </c>
      <c r="AH54" s="225">
        <f t="shared" si="89"/>
        <v>-11.781000000000001</v>
      </c>
      <c r="AI54" s="225">
        <f t="shared" si="90"/>
        <v>-20.283999999999999</v>
      </c>
      <c r="AJ54" s="225">
        <f t="shared" si="91"/>
        <v>-9.4730000000000008</v>
      </c>
      <c r="AK54" s="226">
        <f t="shared" si="92"/>
        <v>-14.081</v>
      </c>
      <c r="AL54" s="225">
        <f t="shared" si="93"/>
        <v>-13.688000000000001</v>
      </c>
      <c r="AM54" s="225">
        <f t="shared" si="94"/>
        <v>-11.965999999999999</v>
      </c>
      <c r="AN54" s="225">
        <f t="shared" si="95"/>
        <v>-11.115</v>
      </c>
      <c r="AO54" s="225">
        <f t="shared" si="96"/>
        <v>-16.248000000000001</v>
      </c>
      <c r="AP54" s="225">
        <f t="shared" si="97"/>
        <v>-18.236000000000001</v>
      </c>
      <c r="AQ54" s="225">
        <f t="shared" si="98"/>
        <v>-15.907</v>
      </c>
      <c r="AR54" s="225">
        <f t="shared" si="99"/>
        <v>-15.773</v>
      </c>
      <c r="AS54" s="223">
        <f>ROUND((AS95-AS98)/AS98%,3)</f>
        <v>-15.255000000000001</v>
      </c>
      <c r="AT54" s="222">
        <f t="shared" ref="AT54:CJ54" si="106">IF(AT95=0,0,ROUND((AT95-AT98)/AT98%,3))</f>
        <v>-14.548999999999999</v>
      </c>
      <c r="AU54" s="222">
        <f t="shared" si="106"/>
        <v>-15.266999999999999</v>
      </c>
      <c r="AV54" s="222">
        <f t="shared" si="106"/>
        <v>-19.544</v>
      </c>
      <c r="AW54" s="222">
        <f t="shared" si="106"/>
        <v>-13.417999999999999</v>
      </c>
      <c r="AX54" s="222">
        <f t="shared" si="106"/>
        <v>-18.855</v>
      </c>
      <c r="AY54" s="222">
        <f t="shared" si="106"/>
        <v>-17.587</v>
      </c>
      <c r="AZ54" s="222">
        <f t="shared" si="106"/>
        <v>-43.232999999999997</v>
      </c>
      <c r="BA54" s="222">
        <f t="shared" si="106"/>
        <v>-22.393999999999998</v>
      </c>
      <c r="BB54" s="222">
        <f t="shared" si="106"/>
        <v>-16.832000000000001</v>
      </c>
      <c r="BC54" s="222">
        <f t="shared" si="106"/>
        <v>-12.271000000000001</v>
      </c>
      <c r="BD54" s="222">
        <f t="shared" si="106"/>
        <v>-20.67</v>
      </c>
      <c r="BE54" s="222">
        <f t="shared" si="106"/>
        <v>-11.045</v>
      </c>
      <c r="BF54" s="227">
        <f t="shared" si="106"/>
        <v>-13.090999999999999</v>
      </c>
      <c r="BG54" s="222">
        <f t="shared" si="106"/>
        <v>0</v>
      </c>
      <c r="BH54" s="222">
        <f t="shared" si="106"/>
        <v>-21.239000000000001</v>
      </c>
      <c r="BI54" s="222">
        <f t="shared" si="106"/>
        <v>-25.992999999999999</v>
      </c>
      <c r="BJ54" s="222">
        <f t="shared" si="106"/>
        <v>-32.606000000000002</v>
      </c>
      <c r="BK54" s="222">
        <f t="shared" si="106"/>
        <v>-19.922000000000001</v>
      </c>
      <c r="BL54" s="222">
        <f t="shared" si="106"/>
        <v>-58.973999999999997</v>
      </c>
      <c r="BM54" s="222">
        <f t="shared" si="106"/>
        <v>-13.868</v>
      </c>
      <c r="BN54" s="222">
        <f t="shared" si="106"/>
        <v>-19.097999999999999</v>
      </c>
      <c r="BO54" s="222">
        <f t="shared" si="106"/>
        <v>-30.972999999999999</v>
      </c>
      <c r="BP54" s="222">
        <f t="shared" si="106"/>
        <v>-17.562000000000001</v>
      </c>
      <c r="BQ54" s="222">
        <f t="shared" si="106"/>
        <v>-11.038</v>
      </c>
      <c r="BR54" s="227">
        <f t="shared" si="106"/>
        <v>-15.555999999999999</v>
      </c>
      <c r="BS54" s="222">
        <f t="shared" si="106"/>
        <v>0</v>
      </c>
      <c r="BT54" s="222">
        <f t="shared" si="106"/>
        <v>-16.420999999999999</v>
      </c>
      <c r="BU54" s="222">
        <f t="shared" si="106"/>
        <v>-16.385999999999999</v>
      </c>
      <c r="BV54" s="222">
        <f t="shared" si="106"/>
        <v>-20.622</v>
      </c>
      <c r="BW54" s="222">
        <f t="shared" si="106"/>
        <v>-20.283999999999999</v>
      </c>
      <c r="BX54" s="222">
        <f t="shared" si="106"/>
        <v>-12.337999999999999</v>
      </c>
      <c r="BY54" s="222">
        <f t="shared" si="106"/>
        <v>-9.4730000000000008</v>
      </c>
      <c r="BZ54" s="222">
        <f t="shared" si="106"/>
        <v>-11.781000000000001</v>
      </c>
      <c r="CA54" s="222">
        <f t="shared" si="106"/>
        <v>-21.422000000000001</v>
      </c>
      <c r="CB54" s="227">
        <f t="shared" si="106"/>
        <v>-14.081</v>
      </c>
      <c r="CC54" s="222">
        <f t="shared" si="106"/>
        <v>-16.248000000000001</v>
      </c>
      <c r="CD54" s="222">
        <f t="shared" si="106"/>
        <v>-18.236000000000001</v>
      </c>
      <c r="CE54" s="222">
        <f t="shared" si="106"/>
        <v>-13.688000000000001</v>
      </c>
      <c r="CF54" s="222">
        <f t="shared" si="106"/>
        <v>-15.468999999999999</v>
      </c>
      <c r="CG54" s="222">
        <f t="shared" si="106"/>
        <v>-15.246</v>
      </c>
      <c r="CH54" s="222">
        <f t="shared" si="106"/>
        <v>-11.965999999999999</v>
      </c>
      <c r="CI54" s="222">
        <f t="shared" si="106"/>
        <v>-15.773</v>
      </c>
      <c r="CJ54" s="222">
        <f t="shared" si="106"/>
        <v>-11.115</v>
      </c>
      <c r="CK54" s="223">
        <f>IF(CK95=0,0,ROUND((CK95-CK98)/CK98%,3))</f>
        <v>-15.907</v>
      </c>
      <c r="CL54" s="228">
        <f>ROUND((CL95-CL98)/CL98%,3)</f>
        <v>-14.355</v>
      </c>
    </row>
    <row r="55" spans="1:90" ht="14.25">
      <c r="A55" s="93">
        <f>ROWS($A$3:A53)</f>
        <v>51</v>
      </c>
      <c r="B55" s="67" t="s">
        <v>224</v>
      </c>
      <c r="C55" s="243"/>
      <c r="D55" s="314"/>
      <c r="E55" s="333"/>
      <c r="F55" s="156"/>
      <c r="G55" s="177"/>
      <c r="H55" s="177"/>
      <c r="I55" s="178"/>
      <c r="J55" s="181"/>
      <c r="K55" s="156"/>
      <c r="L55" s="177"/>
      <c r="M55" s="177"/>
      <c r="N55" s="177"/>
      <c r="O55" s="177"/>
      <c r="P55" s="177"/>
      <c r="Q55" s="177"/>
      <c r="R55" s="177"/>
      <c r="S55" s="177"/>
      <c r="T55" s="177"/>
      <c r="U55" s="179"/>
      <c r="V55" s="177"/>
      <c r="W55" s="177"/>
      <c r="X55" s="177"/>
      <c r="Y55" s="177"/>
      <c r="Z55" s="177"/>
      <c r="AA55" s="177"/>
      <c r="AB55" s="179"/>
      <c r="AC55" s="177"/>
      <c r="AD55" s="177"/>
      <c r="AE55" s="177"/>
      <c r="AF55" s="177"/>
      <c r="AG55" s="177"/>
      <c r="AH55" s="177"/>
      <c r="AI55" s="177"/>
      <c r="AJ55" s="177"/>
      <c r="AK55" s="179"/>
      <c r="AL55" s="177"/>
      <c r="AM55" s="177"/>
      <c r="AN55" s="177"/>
      <c r="AO55" s="177"/>
      <c r="AP55" s="177"/>
      <c r="AQ55" s="177"/>
      <c r="AR55" s="177"/>
      <c r="AS55" s="178"/>
      <c r="AT55" s="177"/>
      <c r="AU55" s="177"/>
      <c r="AV55" s="177"/>
      <c r="AW55" s="177"/>
      <c r="AX55" s="177"/>
      <c r="AY55" s="177"/>
      <c r="AZ55" s="177"/>
      <c r="BA55" s="177"/>
      <c r="BB55" s="177"/>
      <c r="BC55" s="177"/>
      <c r="BD55" s="177"/>
      <c r="BE55" s="177"/>
      <c r="BF55" s="179"/>
      <c r="BG55" s="177"/>
      <c r="BH55" s="177"/>
      <c r="BI55" s="177"/>
      <c r="BJ55" s="177"/>
      <c r="BK55" s="177"/>
      <c r="BL55" s="177"/>
      <c r="BM55" s="177"/>
      <c r="BN55" s="177"/>
      <c r="BO55" s="177"/>
      <c r="BP55" s="177"/>
      <c r="BQ55" s="177"/>
      <c r="BR55" s="179"/>
      <c r="BS55" s="177"/>
      <c r="BT55" s="177"/>
      <c r="BU55" s="177"/>
      <c r="BV55" s="177"/>
      <c r="BW55" s="177"/>
      <c r="BX55" s="177"/>
      <c r="BY55" s="177"/>
      <c r="BZ55" s="177"/>
      <c r="CA55" s="177"/>
      <c r="CB55" s="179"/>
      <c r="CC55" s="177"/>
      <c r="CD55" s="177"/>
      <c r="CE55" s="177"/>
      <c r="CF55" s="177"/>
      <c r="CG55" s="177"/>
      <c r="CH55" s="177"/>
      <c r="CI55" s="177"/>
      <c r="CJ55" s="177"/>
      <c r="CK55" s="178"/>
      <c r="CL55" s="180"/>
    </row>
    <row r="56" spans="1:90">
      <c r="A56" s="93">
        <f>ROWS($A$3:A54)</f>
        <v>52</v>
      </c>
      <c r="B56" s="106" t="s">
        <v>57</v>
      </c>
      <c r="C56" s="242">
        <v>2008</v>
      </c>
      <c r="D56" s="314" t="s">
        <v>14</v>
      </c>
      <c r="E56" s="316">
        <v>40441</v>
      </c>
      <c r="F56" s="156">
        <v>268</v>
      </c>
      <c r="G56" s="177">
        <v>238</v>
      </c>
      <c r="H56" s="177">
        <v>272</v>
      </c>
      <c r="I56" s="178">
        <v>316</v>
      </c>
      <c r="J56" s="181"/>
      <c r="K56" s="156">
        <f t="shared" ref="K56:K63" si="107">BF56</f>
        <v>41</v>
      </c>
      <c r="L56" s="177">
        <f t="shared" ref="L56:L63" si="108">AY56</f>
        <v>25</v>
      </c>
      <c r="M56" s="177">
        <f t="shared" ref="M56:M63" si="109">BD56</f>
        <v>35</v>
      </c>
      <c r="N56" s="177">
        <f t="shared" ref="N56:N63" si="110">AW56</f>
        <v>19</v>
      </c>
      <c r="O56" s="177">
        <f t="shared" ref="O56:O63" si="111">BE56</f>
        <v>11</v>
      </c>
      <c r="P56" s="177">
        <f t="shared" ref="P56:P63" si="112">AZ56+BA56</f>
        <v>24</v>
      </c>
      <c r="Q56" s="177">
        <f>'2008'!AU56</f>
        <v>19</v>
      </c>
      <c r="R56" s="177">
        <f t="shared" ref="R56:R63" si="113">AT56+AX56</f>
        <v>27</v>
      </c>
      <c r="S56" s="177">
        <f t="shared" ref="S56:S63" si="114">AV56</f>
        <v>28</v>
      </c>
      <c r="T56" s="177">
        <f t="shared" ref="T56:U63" si="115">BB56</f>
        <v>21</v>
      </c>
      <c r="U56" s="179">
        <f t="shared" si="115"/>
        <v>18</v>
      </c>
      <c r="V56" s="177">
        <f t="shared" ref="V56:V63" si="116">BG56+BJ56</f>
        <v>32</v>
      </c>
      <c r="W56" s="177">
        <f t="shared" ref="W56:W63" si="117">BR56</f>
        <v>18</v>
      </c>
      <c r="X56" s="177">
        <f t="shared" ref="X56:X63" si="118">BH56+BI56</f>
        <v>47</v>
      </c>
      <c r="Y56" s="177">
        <f t="shared" ref="Y56:Y63" si="119">BK56+BL56+BN56</f>
        <v>61</v>
      </c>
      <c r="Z56" s="177">
        <f t="shared" ref="Z56:Z63" si="120">BM56</f>
        <v>25</v>
      </c>
      <c r="AA56" s="177">
        <f t="shared" ref="AA56:AA63" si="121">BO56+BQ56</f>
        <v>29</v>
      </c>
      <c r="AB56" s="179">
        <f t="shared" ref="AB56:AB63" si="122">BP56</f>
        <v>26</v>
      </c>
      <c r="AC56" s="177">
        <f t="shared" ref="AC56:AC63" si="123">BX56</f>
        <v>24</v>
      </c>
      <c r="AD56" s="177">
        <f t="shared" ref="AD56:AD63" si="124">BU56</f>
        <v>20</v>
      </c>
      <c r="AE56" s="177">
        <f t="shared" ref="AE56:AE63" si="125">BS56+BT56</f>
        <v>51</v>
      </c>
      <c r="AF56" s="177">
        <f t="shared" ref="AF56:AF63" si="126">CA56</f>
        <v>25</v>
      </c>
      <c r="AG56" s="177">
        <f t="shared" ref="AG56:AG63" si="127">BV56</f>
        <v>23</v>
      </c>
      <c r="AH56" s="177">
        <f t="shared" ref="AH56:AH63" si="128">BZ56</f>
        <v>59</v>
      </c>
      <c r="AI56" s="177">
        <f t="shared" ref="AI56:AI63" si="129">BW56</f>
        <v>10</v>
      </c>
      <c r="AJ56" s="177">
        <f t="shared" ref="AJ56:AJ63" si="130">BY56</f>
        <v>23</v>
      </c>
      <c r="AK56" s="179">
        <f t="shared" ref="AK56:AK63" si="131">CB56</f>
        <v>37</v>
      </c>
      <c r="AL56" s="177">
        <f t="shared" ref="AL56:AL63" si="132">CE56</f>
        <v>53</v>
      </c>
      <c r="AM56" s="177">
        <f t="shared" ref="AM56:AM63" si="133">CH56</f>
        <v>31</v>
      </c>
      <c r="AN56" s="177">
        <f t="shared" ref="AN56:AN63" si="134">CJ56</f>
        <v>76</v>
      </c>
      <c r="AO56" s="177">
        <f t="shared" ref="AO56:AP63" si="135">CC56</f>
        <v>42</v>
      </c>
      <c r="AP56" s="177">
        <f t="shared" si="135"/>
        <v>22</v>
      </c>
      <c r="AQ56" s="177">
        <f t="shared" ref="AQ56:AQ63" si="136">CK56</f>
        <v>25</v>
      </c>
      <c r="AR56" s="177">
        <f t="shared" ref="AR56:AR63" si="137">CI56</f>
        <v>33</v>
      </c>
      <c r="AS56" s="178">
        <f t="shared" ref="AS56:AS63" si="138">CF56+CG56</f>
        <v>34</v>
      </c>
      <c r="AT56" s="186">
        <v>7</v>
      </c>
      <c r="AU56" s="177">
        <v>19</v>
      </c>
      <c r="AV56" s="177">
        <v>28</v>
      </c>
      <c r="AW56" s="181">
        <v>19</v>
      </c>
      <c r="AX56" s="177">
        <v>20</v>
      </c>
      <c r="AY56" s="177">
        <v>25</v>
      </c>
      <c r="AZ56" s="177">
        <v>4</v>
      </c>
      <c r="BA56" s="177">
        <v>20</v>
      </c>
      <c r="BB56" s="177">
        <v>21</v>
      </c>
      <c r="BC56" s="177">
        <v>18</v>
      </c>
      <c r="BD56" s="177">
        <v>35</v>
      </c>
      <c r="BE56" s="177">
        <v>11</v>
      </c>
      <c r="BF56" s="179">
        <v>41</v>
      </c>
      <c r="BG56" s="177">
        <v>5</v>
      </c>
      <c r="BH56" s="177">
        <v>7</v>
      </c>
      <c r="BI56" s="177">
        <v>40</v>
      </c>
      <c r="BJ56" s="177">
        <v>27</v>
      </c>
      <c r="BK56" s="177">
        <v>5</v>
      </c>
      <c r="BL56" s="177">
        <v>9</v>
      </c>
      <c r="BM56" s="177">
        <v>25</v>
      </c>
      <c r="BN56" s="177">
        <v>47</v>
      </c>
      <c r="BO56" s="177">
        <v>3</v>
      </c>
      <c r="BP56" s="177">
        <v>26</v>
      </c>
      <c r="BQ56" s="177">
        <v>26</v>
      </c>
      <c r="BR56" s="179">
        <v>18</v>
      </c>
      <c r="BS56" s="177">
        <v>6</v>
      </c>
      <c r="BT56" s="177">
        <v>45</v>
      </c>
      <c r="BU56" s="177">
        <v>20</v>
      </c>
      <c r="BV56" s="177">
        <v>23</v>
      </c>
      <c r="BW56" s="177">
        <v>10</v>
      </c>
      <c r="BX56" s="177">
        <v>24</v>
      </c>
      <c r="BY56" s="177">
        <v>23</v>
      </c>
      <c r="BZ56" s="177">
        <v>59</v>
      </c>
      <c r="CA56" s="177">
        <v>25</v>
      </c>
      <c r="CB56" s="179">
        <v>37</v>
      </c>
      <c r="CC56" s="177">
        <v>42</v>
      </c>
      <c r="CD56" s="177">
        <v>22</v>
      </c>
      <c r="CE56" s="177">
        <v>53</v>
      </c>
      <c r="CF56" s="177">
        <v>1</v>
      </c>
      <c r="CG56" s="177">
        <v>33</v>
      </c>
      <c r="CH56" s="177">
        <v>31</v>
      </c>
      <c r="CI56" s="177">
        <v>33</v>
      </c>
      <c r="CJ56" s="177">
        <v>76</v>
      </c>
      <c r="CK56" s="178">
        <v>25</v>
      </c>
      <c r="CL56" s="180">
        <v>1094</v>
      </c>
    </row>
    <row r="57" spans="1:90">
      <c r="A57" s="93">
        <f>ROWS($A$3:A55)</f>
        <v>53</v>
      </c>
      <c r="B57" s="106"/>
      <c r="C57" s="243"/>
      <c r="D57" s="314" t="s">
        <v>1</v>
      </c>
      <c r="E57" s="333"/>
      <c r="F57" s="156">
        <v>14335</v>
      </c>
      <c r="G57" s="177">
        <v>19519</v>
      </c>
      <c r="H57" s="177">
        <v>31216</v>
      </c>
      <c r="I57" s="178">
        <v>18974</v>
      </c>
      <c r="J57" s="181"/>
      <c r="K57" s="156">
        <f t="shared" si="107"/>
        <v>1872</v>
      </c>
      <c r="L57" s="177">
        <f t="shared" si="108"/>
        <v>776</v>
      </c>
      <c r="M57" s="177">
        <f t="shared" si="109"/>
        <v>1042</v>
      </c>
      <c r="N57" s="177">
        <f t="shared" si="110"/>
        <v>2872</v>
      </c>
      <c r="O57" s="177">
        <f t="shared" si="111"/>
        <v>504</v>
      </c>
      <c r="P57" s="177">
        <f t="shared" si="112"/>
        <v>489</v>
      </c>
      <c r="Q57" s="177">
        <f>'2008'!AU57</f>
        <v>709</v>
      </c>
      <c r="R57" s="177">
        <f t="shared" si="113"/>
        <v>1904</v>
      </c>
      <c r="S57" s="177">
        <f t="shared" si="114"/>
        <v>2283</v>
      </c>
      <c r="T57" s="177">
        <f t="shared" si="115"/>
        <v>487</v>
      </c>
      <c r="U57" s="179">
        <f t="shared" si="115"/>
        <v>1397</v>
      </c>
      <c r="V57" s="177">
        <f t="shared" si="116"/>
        <v>4371</v>
      </c>
      <c r="W57" s="177">
        <f t="shared" si="117"/>
        <v>2885</v>
      </c>
      <c r="X57" s="177">
        <f t="shared" si="118"/>
        <v>3858</v>
      </c>
      <c r="Y57" s="177">
        <f t="shared" si="119"/>
        <v>3679</v>
      </c>
      <c r="Z57" s="177">
        <f t="shared" si="120"/>
        <v>903</v>
      </c>
      <c r="AA57" s="177">
        <f t="shared" si="121"/>
        <v>1545</v>
      </c>
      <c r="AB57" s="179">
        <f t="shared" si="122"/>
        <v>2278</v>
      </c>
      <c r="AC57" s="177">
        <f t="shared" si="123"/>
        <v>1949</v>
      </c>
      <c r="AD57" s="177">
        <f t="shared" si="124"/>
        <v>3809</v>
      </c>
      <c r="AE57" s="177">
        <f t="shared" si="125"/>
        <v>6157</v>
      </c>
      <c r="AF57" s="177">
        <f t="shared" si="126"/>
        <v>5582</v>
      </c>
      <c r="AG57" s="177">
        <f t="shared" si="127"/>
        <v>3514</v>
      </c>
      <c r="AH57" s="177">
        <f t="shared" si="128"/>
        <v>4251</v>
      </c>
      <c r="AI57" s="177">
        <f t="shared" si="129"/>
        <v>436</v>
      </c>
      <c r="AJ57" s="177">
        <f t="shared" si="130"/>
        <v>1880</v>
      </c>
      <c r="AK57" s="179">
        <f t="shared" si="131"/>
        <v>3638</v>
      </c>
      <c r="AL57" s="177">
        <f t="shared" si="132"/>
        <v>1545</v>
      </c>
      <c r="AM57" s="177">
        <f t="shared" si="133"/>
        <v>3578</v>
      </c>
      <c r="AN57" s="177">
        <f t="shared" si="134"/>
        <v>5915</v>
      </c>
      <c r="AO57" s="177">
        <f t="shared" si="135"/>
        <v>1979</v>
      </c>
      <c r="AP57" s="177">
        <f t="shared" si="135"/>
        <v>1184</v>
      </c>
      <c r="AQ57" s="177">
        <f t="shared" si="136"/>
        <v>2011</v>
      </c>
      <c r="AR57" s="177">
        <f t="shared" si="137"/>
        <v>1514</v>
      </c>
      <c r="AS57" s="178">
        <f t="shared" si="138"/>
        <v>1248</v>
      </c>
      <c r="AT57" s="177">
        <v>1360</v>
      </c>
      <c r="AU57" s="177">
        <v>709</v>
      </c>
      <c r="AV57" s="177">
        <v>2283</v>
      </c>
      <c r="AW57" s="177">
        <v>2872</v>
      </c>
      <c r="AX57" s="177">
        <v>544</v>
      </c>
      <c r="AY57" s="177">
        <v>776</v>
      </c>
      <c r="AZ57" s="177">
        <v>93</v>
      </c>
      <c r="BA57" s="177">
        <v>396</v>
      </c>
      <c r="BB57" s="177">
        <v>487</v>
      </c>
      <c r="BC57" s="177">
        <v>1397</v>
      </c>
      <c r="BD57" s="177">
        <v>1042</v>
      </c>
      <c r="BE57" s="177">
        <v>504</v>
      </c>
      <c r="BF57" s="179">
        <v>1872</v>
      </c>
      <c r="BG57" s="177">
        <v>438</v>
      </c>
      <c r="BH57" s="177">
        <v>646</v>
      </c>
      <c r="BI57" s="177">
        <v>3212</v>
      </c>
      <c r="BJ57" s="177">
        <v>3933</v>
      </c>
      <c r="BK57" s="177">
        <v>84</v>
      </c>
      <c r="BL57" s="177">
        <v>691</v>
      </c>
      <c r="BM57" s="177">
        <v>903</v>
      </c>
      <c r="BN57" s="177">
        <v>2904</v>
      </c>
      <c r="BO57" s="177">
        <v>197</v>
      </c>
      <c r="BP57" s="177">
        <v>2278</v>
      </c>
      <c r="BQ57" s="177">
        <v>1348</v>
      </c>
      <c r="BR57" s="179">
        <v>2885</v>
      </c>
      <c r="BS57" s="177">
        <v>655</v>
      </c>
      <c r="BT57" s="177">
        <v>5502</v>
      </c>
      <c r="BU57" s="177">
        <v>3809</v>
      </c>
      <c r="BV57" s="177">
        <v>3514</v>
      </c>
      <c r="BW57" s="177">
        <v>436</v>
      </c>
      <c r="BX57" s="177">
        <v>1949</v>
      </c>
      <c r="BY57" s="177">
        <v>1880</v>
      </c>
      <c r="BZ57" s="177">
        <v>4251</v>
      </c>
      <c r="CA57" s="177">
        <v>5582</v>
      </c>
      <c r="CB57" s="179">
        <v>3638</v>
      </c>
      <c r="CC57" s="177">
        <v>1979</v>
      </c>
      <c r="CD57" s="177">
        <v>1184</v>
      </c>
      <c r="CE57" s="177">
        <v>1545</v>
      </c>
      <c r="CF57" s="177">
        <v>39</v>
      </c>
      <c r="CG57" s="177">
        <v>1209</v>
      </c>
      <c r="CH57" s="177">
        <v>3578</v>
      </c>
      <c r="CI57" s="177">
        <v>1514</v>
      </c>
      <c r="CJ57" s="177">
        <v>5915</v>
      </c>
      <c r="CK57" s="178">
        <v>2011</v>
      </c>
      <c r="CL57" s="180">
        <v>84044</v>
      </c>
    </row>
    <row r="58" spans="1:90">
      <c r="A58" s="93">
        <f>ROWS($A$3:A56)</f>
        <v>54</v>
      </c>
      <c r="B58" s="295" t="s">
        <v>249</v>
      </c>
      <c r="C58" s="243"/>
      <c r="D58" s="314" t="s">
        <v>14</v>
      </c>
      <c r="E58" s="337"/>
      <c r="F58" s="156"/>
      <c r="G58" s="177"/>
      <c r="H58" s="177"/>
      <c r="I58" s="178"/>
      <c r="J58" s="181"/>
      <c r="K58" s="156">
        <f t="shared" si="107"/>
        <v>0</v>
      </c>
      <c r="L58" s="177">
        <f t="shared" si="108"/>
        <v>0</v>
      </c>
      <c r="M58" s="177">
        <f t="shared" si="109"/>
        <v>0</v>
      </c>
      <c r="N58" s="177">
        <f t="shared" si="110"/>
        <v>0</v>
      </c>
      <c r="O58" s="177">
        <f t="shared" si="111"/>
        <v>0</v>
      </c>
      <c r="P58" s="177">
        <f t="shared" si="112"/>
        <v>0</v>
      </c>
      <c r="Q58" s="177">
        <f>'2008'!AU58</f>
        <v>0</v>
      </c>
      <c r="R58" s="177">
        <f t="shared" si="113"/>
        <v>0</v>
      </c>
      <c r="S58" s="177">
        <f t="shared" si="114"/>
        <v>0</v>
      </c>
      <c r="T58" s="177">
        <f t="shared" si="115"/>
        <v>0</v>
      </c>
      <c r="U58" s="179">
        <f t="shared" si="115"/>
        <v>0</v>
      </c>
      <c r="V58" s="177">
        <f t="shared" si="116"/>
        <v>0</v>
      </c>
      <c r="W58" s="177">
        <f t="shared" si="117"/>
        <v>0</v>
      </c>
      <c r="X58" s="177">
        <f t="shared" si="118"/>
        <v>0</v>
      </c>
      <c r="Y58" s="177">
        <f t="shared" si="119"/>
        <v>0</v>
      </c>
      <c r="Z58" s="177">
        <f t="shared" si="120"/>
        <v>0</v>
      </c>
      <c r="AA58" s="177">
        <f t="shared" si="121"/>
        <v>0</v>
      </c>
      <c r="AB58" s="179">
        <f t="shared" si="122"/>
        <v>0</v>
      </c>
      <c r="AC58" s="177">
        <f t="shared" si="123"/>
        <v>0</v>
      </c>
      <c r="AD58" s="177">
        <f t="shared" si="124"/>
        <v>0</v>
      </c>
      <c r="AE58" s="177">
        <f t="shared" si="125"/>
        <v>0</v>
      </c>
      <c r="AF58" s="177">
        <f t="shared" si="126"/>
        <v>0</v>
      </c>
      <c r="AG58" s="177">
        <f t="shared" si="127"/>
        <v>0</v>
      </c>
      <c r="AH58" s="177">
        <f t="shared" si="128"/>
        <v>0</v>
      </c>
      <c r="AI58" s="177">
        <f t="shared" si="129"/>
        <v>0</v>
      </c>
      <c r="AJ58" s="177">
        <f t="shared" si="130"/>
        <v>0</v>
      </c>
      <c r="AK58" s="179">
        <f t="shared" si="131"/>
        <v>0</v>
      </c>
      <c r="AL58" s="177">
        <f t="shared" si="132"/>
        <v>0</v>
      </c>
      <c r="AM58" s="177">
        <f t="shared" si="133"/>
        <v>0</v>
      </c>
      <c r="AN58" s="177">
        <f t="shared" si="134"/>
        <v>0</v>
      </c>
      <c r="AO58" s="177">
        <f t="shared" si="135"/>
        <v>0</v>
      </c>
      <c r="AP58" s="177">
        <f t="shared" si="135"/>
        <v>0</v>
      </c>
      <c r="AQ58" s="177">
        <f t="shared" si="136"/>
        <v>0</v>
      </c>
      <c r="AR58" s="177">
        <f t="shared" si="137"/>
        <v>0</v>
      </c>
      <c r="AS58" s="178">
        <f t="shared" si="138"/>
        <v>0</v>
      </c>
      <c r="AT58" s="186"/>
      <c r="AU58" s="177"/>
      <c r="AV58" s="181"/>
      <c r="AW58" s="181"/>
      <c r="AX58" s="181"/>
      <c r="AY58" s="181"/>
      <c r="AZ58" s="181"/>
      <c r="BA58" s="181"/>
      <c r="BB58" s="181"/>
      <c r="BC58" s="181"/>
      <c r="BD58" s="181"/>
      <c r="BE58" s="181"/>
      <c r="BF58" s="179"/>
      <c r="BG58" s="181"/>
      <c r="BH58" s="181"/>
      <c r="BI58" s="181"/>
      <c r="BJ58" s="181"/>
      <c r="BK58" s="181"/>
      <c r="BL58" s="181"/>
      <c r="BM58" s="181"/>
      <c r="BN58" s="181"/>
      <c r="BO58" s="181"/>
      <c r="BP58" s="181"/>
      <c r="BQ58" s="181"/>
      <c r="BR58" s="179"/>
      <c r="BS58" s="181"/>
      <c r="BT58" s="181"/>
      <c r="BU58" s="181"/>
      <c r="BV58" s="181"/>
      <c r="BW58" s="181"/>
      <c r="BX58" s="181"/>
      <c r="BY58" s="181"/>
      <c r="BZ58" s="181"/>
      <c r="CA58" s="181"/>
      <c r="CB58" s="179"/>
      <c r="CC58" s="181"/>
      <c r="CD58" s="181"/>
      <c r="CE58" s="181"/>
      <c r="CF58" s="181"/>
      <c r="CG58" s="181"/>
      <c r="CH58" s="181"/>
      <c r="CI58" s="181"/>
      <c r="CJ58" s="181"/>
      <c r="CK58" s="178"/>
      <c r="CL58" s="180">
        <v>1446</v>
      </c>
    </row>
    <row r="59" spans="1:90">
      <c r="A59" s="93">
        <f>ROWS($A$3:A57)</f>
        <v>55</v>
      </c>
      <c r="B59" s="295"/>
      <c r="C59" s="243"/>
      <c r="D59" s="314" t="s">
        <v>1</v>
      </c>
      <c r="E59" s="333"/>
      <c r="F59" s="156"/>
      <c r="G59" s="177"/>
      <c r="H59" s="177"/>
      <c r="I59" s="178"/>
      <c r="J59" s="181"/>
      <c r="K59" s="156">
        <f t="shared" si="107"/>
        <v>0</v>
      </c>
      <c r="L59" s="177">
        <f t="shared" si="108"/>
        <v>0</v>
      </c>
      <c r="M59" s="177">
        <f t="shared" si="109"/>
        <v>0</v>
      </c>
      <c r="N59" s="177">
        <f t="shared" si="110"/>
        <v>0</v>
      </c>
      <c r="O59" s="177">
        <f t="shared" si="111"/>
        <v>0</v>
      </c>
      <c r="P59" s="177">
        <f t="shared" si="112"/>
        <v>0</v>
      </c>
      <c r="Q59" s="177">
        <f>'2008'!AU59</f>
        <v>0</v>
      </c>
      <c r="R59" s="177">
        <f t="shared" si="113"/>
        <v>0</v>
      </c>
      <c r="S59" s="177">
        <f t="shared" si="114"/>
        <v>0</v>
      </c>
      <c r="T59" s="177">
        <f t="shared" si="115"/>
        <v>0</v>
      </c>
      <c r="U59" s="179">
        <f t="shared" si="115"/>
        <v>0</v>
      </c>
      <c r="V59" s="177">
        <f t="shared" si="116"/>
        <v>0</v>
      </c>
      <c r="W59" s="177">
        <f t="shared" si="117"/>
        <v>0</v>
      </c>
      <c r="X59" s="177">
        <f t="shared" si="118"/>
        <v>0</v>
      </c>
      <c r="Y59" s="177">
        <f t="shared" si="119"/>
        <v>0</v>
      </c>
      <c r="Z59" s="177">
        <f t="shared" si="120"/>
        <v>0</v>
      </c>
      <c r="AA59" s="177">
        <f t="shared" si="121"/>
        <v>0</v>
      </c>
      <c r="AB59" s="179">
        <f t="shared" si="122"/>
        <v>0</v>
      </c>
      <c r="AC59" s="177">
        <f t="shared" si="123"/>
        <v>0</v>
      </c>
      <c r="AD59" s="177">
        <f t="shared" si="124"/>
        <v>0</v>
      </c>
      <c r="AE59" s="177">
        <f t="shared" si="125"/>
        <v>0</v>
      </c>
      <c r="AF59" s="177">
        <f t="shared" si="126"/>
        <v>0</v>
      </c>
      <c r="AG59" s="177">
        <f t="shared" si="127"/>
        <v>0</v>
      </c>
      <c r="AH59" s="177">
        <f t="shared" si="128"/>
        <v>0</v>
      </c>
      <c r="AI59" s="177">
        <f t="shared" si="129"/>
        <v>0</v>
      </c>
      <c r="AJ59" s="177">
        <f t="shared" si="130"/>
        <v>0</v>
      </c>
      <c r="AK59" s="179">
        <f t="shared" si="131"/>
        <v>0</v>
      </c>
      <c r="AL59" s="177">
        <f t="shared" si="132"/>
        <v>0</v>
      </c>
      <c r="AM59" s="177">
        <f t="shared" si="133"/>
        <v>0</v>
      </c>
      <c r="AN59" s="177">
        <f t="shared" si="134"/>
        <v>0</v>
      </c>
      <c r="AO59" s="177">
        <f t="shared" si="135"/>
        <v>0</v>
      </c>
      <c r="AP59" s="177">
        <f t="shared" si="135"/>
        <v>0</v>
      </c>
      <c r="AQ59" s="177">
        <f t="shared" si="136"/>
        <v>0</v>
      </c>
      <c r="AR59" s="177">
        <f t="shared" si="137"/>
        <v>0</v>
      </c>
      <c r="AS59" s="178">
        <f t="shared" si="138"/>
        <v>0</v>
      </c>
      <c r="AT59" s="177"/>
      <c r="AU59" s="177"/>
      <c r="AV59" s="177"/>
      <c r="AW59" s="177"/>
      <c r="AX59" s="177"/>
      <c r="AY59" s="177"/>
      <c r="AZ59" s="177"/>
      <c r="BA59" s="177"/>
      <c r="BB59" s="177"/>
      <c r="BC59" s="177"/>
      <c r="BD59" s="177"/>
      <c r="BE59" s="177"/>
      <c r="BF59" s="179"/>
      <c r="BG59" s="177"/>
      <c r="BH59" s="177"/>
      <c r="BI59" s="177"/>
      <c r="BJ59" s="177"/>
      <c r="BK59" s="177"/>
      <c r="BL59" s="177"/>
      <c r="BM59" s="177"/>
      <c r="BN59" s="177"/>
      <c r="BO59" s="177"/>
      <c r="BP59" s="177"/>
      <c r="BQ59" s="177"/>
      <c r="BR59" s="179"/>
      <c r="BS59" s="177"/>
      <c r="BT59" s="177"/>
      <c r="BU59" s="177"/>
      <c r="BV59" s="177"/>
      <c r="BW59" s="177"/>
      <c r="BX59" s="177"/>
      <c r="BY59" s="177"/>
      <c r="BZ59" s="177"/>
      <c r="CA59" s="177"/>
      <c r="CB59" s="179"/>
      <c r="CC59" s="177"/>
      <c r="CD59" s="177"/>
      <c r="CE59" s="177"/>
      <c r="CF59" s="177"/>
      <c r="CG59" s="177"/>
      <c r="CH59" s="177"/>
      <c r="CI59" s="177"/>
      <c r="CJ59" s="177"/>
      <c r="CK59" s="178"/>
      <c r="CL59" s="180">
        <v>807059</v>
      </c>
    </row>
    <row r="60" spans="1:90">
      <c r="A60" s="93">
        <f>ROWS($A$3:A58)</f>
        <v>56</v>
      </c>
      <c r="B60" s="295" t="s">
        <v>250</v>
      </c>
      <c r="C60" s="243"/>
      <c r="D60" s="314" t="s">
        <v>14</v>
      </c>
      <c r="E60" s="337"/>
      <c r="F60" s="156"/>
      <c r="G60" s="181"/>
      <c r="H60" s="181"/>
      <c r="I60" s="178"/>
      <c r="J60" s="181"/>
      <c r="K60" s="156">
        <f t="shared" si="107"/>
        <v>0</v>
      </c>
      <c r="L60" s="177">
        <f t="shared" si="108"/>
        <v>0</v>
      </c>
      <c r="M60" s="177">
        <f t="shared" si="109"/>
        <v>0</v>
      </c>
      <c r="N60" s="177">
        <f t="shared" si="110"/>
        <v>0</v>
      </c>
      <c r="O60" s="177">
        <f t="shared" si="111"/>
        <v>0</v>
      </c>
      <c r="P60" s="177">
        <f t="shared" si="112"/>
        <v>0</v>
      </c>
      <c r="Q60" s="177">
        <f>'2008'!AU60</f>
        <v>0</v>
      </c>
      <c r="R60" s="177">
        <f t="shared" si="113"/>
        <v>0</v>
      </c>
      <c r="S60" s="177">
        <f t="shared" si="114"/>
        <v>0</v>
      </c>
      <c r="T60" s="177">
        <f t="shared" si="115"/>
        <v>0</v>
      </c>
      <c r="U60" s="179">
        <f t="shared" si="115"/>
        <v>0</v>
      </c>
      <c r="V60" s="177">
        <f t="shared" si="116"/>
        <v>0</v>
      </c>
      <c r="W60" s="177">
        <f t="shared" si="117"/>
        <v>0</v>
      </c>
      <c r="X60" s="177">
        <f t="shared" si="118"/>
        <v>0</v>
      </c>
      <c r="Y60" s="177">
        <f t="shared" si="119"/>
        <v>0</v>
      </c>
      <c r="Z60" s="177">
        <f t="shared" si="120"/>
        <v>0</v>
      </c>
      <c r="AA60" s="177">
        <f t="shared" si="121"/>
        <v>0</v>
      </c>
      <c r="AB60" s="179">
        <f t="shared" si="122"/>
        <v>0</v>
      </c>
      <c r="AC60" s="177">
        <f t="shared" si="123"/>
        <v>0</v>
      </c>
      <c r="AD60" s="177">
        <f t="shared" si="124"/>
        <v>0</v>
      </c>
      <c r="AE60" s="177">
        <f t="shared" si="125"/>
        <v>0</v>
      </c>
      <c r="AF60" s="177">
        <f t="shared" si="126"/>
        <v>0</v>
      </c>
      <c r="AG60" s="177">
        <f t="shared" si="127"/>
        <v>0</v>
      </c>
      <c r="AH60" s="177">
        <f t="shared" si="128"/>
        <v>0</v>
      </c>
      <c r="AI60" s="177">
        <f t="shared" si="129"/>
        <v>0</v>
      </c>
      <c r="AJ60" s="177">
        <f t="shared" si="130"/>
        <v>0</v>
      </c>
      <c r="AK60" s="179">
        <f t="shared" si="131"/>
        <v>0</v>
      </c>
      <c r="AL60" s="177">
        <f t="shared" si="132"/>
        <v>0</v>
      </c>
      <c r="AM60" s="177">
        <f t="shared" si="133"/>
        <v>0</v>
      </c>
      <c r="AN60" s="177">
        <f t="shared" si="134"/>
        <v>0</v>
      </c>
      <c r="AO60" s="177">
        <f t="shared" si="135"/>
        <v>0</v>
      </c>
      <c r="AP60" s="177">
        <f t="shared" si="135"/>
        <v>0</v>
      </c>
      <c r="AQ60" s="177">
        <f t="shared" si="136"/>
        <v>0</v>
      </c>
      <c r="AR60" s="177">
        <f t="shared" si="137"/>
        <v>0</v>
      </c>
      <c r="AS60" s="178">
        <f t="shared" si="138"/>
        <v>0</v>
      </c>
      <c r="AT60" s="177"/>
      <c r="AU60" s="181"/>
      <c r="AV60" s="181"/>
      <c r="AW60" s="181"/>
      <c r="AX60" s="181"/>
      <c r="AY60" s="181"/>
      <c r="AZ60" s="181"/>
      <c r="BA60" s="181"/>
      <c r="BB60" s="181"/>
      <c r="BC60" s="181"/>
      <c r="BD60" s="181"/>
      <c r="BE60" s="181"/>
      <c r="BF60" s="179"/>
      <c r="BG60" s="181"/>
      <c r="BH60" s="181"/>
      <c r="BI60" s="181"/>
      <c r="BJ60" s="181"/>
      <c r="BK60" s="181"/>
      <c r="BL60" s="181"/>
      <c r="BM60" s="181"/>
      <c r="BN60" s="181"/>
      <c r="BO60" s="181"/>
      <c r="BP60" s="181"/>
      <c r="BQ60" s="181"/>
      <c r="BR60" s="179"/>
      <c r="BS60" s="181"/>
      <c r="BT60" s="181"/>
      <c r="BU60" s="181"/>
      <c r="BV60" s="181"/>
      <c r="BW60" s="181"/>
      <c r="BX60" s="181"/>
      <c r="BY60" s="181"/>
      <c r="BZ60" s="181"/>
      <c r="CA60" s="181"/>
      <c r="CB60" s="179"/>
      <c r="CC60" s="181"/>
      <c r="CD60" s="181"/>
      <c r="CE60" s="181"/>
      <c r="CF60" s="181"/>
      <c r="CG60" s="181"/>
      <c r="CH60" s="181"/>
      <c r="CI60" s="181"/>
      <c r="CJ60" s="181"/>
      <c r="CK60" s="178"/>
      <c r="CL60" s="180">
        <v>2627</v>
      </c>
    </row>
    <row r="61" spans="1:90">
      <c r="A61" s="93">
        <f>ROWS($A$3:A59)</f>
        <v>57</v>
      </c>
      <c r="B61" s="295"/>
      <c r="C61" s="243"/>
      <c r="D61" s="314" t="s">
        <v>1</v>
      </c>
      <c r="E61" s="333"/>
      <c r="F61" s="156"/>
      <c r="G61" s="177"/>
      <c r="H61" s="177"/>
      <c r="I61" s="178"/>
      <c r="J61" s="181"/>
      <c r="K61" s="156">
        <f t="shared" si="107"/>
        <v>0</v>
      </c>
      <c r="L61" s="177">
        <f t="shared" si="108"/>
        <v>0</v>
      </c>
      <c r="M61" s="177">
        <f t="shared" si="109"/>
        <v>0</v>
      </c>
      <c r="N61" s="177">
        <f t="shared" si="110"/>
        <v>0</v>
      </c>
      <c r="O61" s="177">
        <f t="shared" si="111"/>
        <v>0</v>
      </c>
      <c r="P61" s="177">
        <f t="shared" si="112"/>
        <v>0</v>
      </c>
      <c r="Q61" s="177">
        <f>'2008'!AU61</f>
        <v>0</v>
      </c>
      <c r="R61" s="177">
        <f t="shared" si="113"/>
        <v>0</v>
      </c>
      <c r="S61" s="177">
        <f t="shared" si="114"/>
        <v>0</v>
      </c>
      <c r="T61" s="177">
        <f t="shared" si="115"/>
        <v>0</v>
      </c>
      <c r="U61" s="179">
        <f t="shared" si="115"/>
        <v>0</v>
      </c>
      <c r="V61" s="177">
        <f t="shared" si="116"/>
        <v>0</v>
      </c>
      <c r="W61" s="177">
        <f t="shared" si="117"/>
        <v>0</v>
      </c>
      <c r="X61" s="177">
        <f t="shared" si="118"/>
        <v>0</v>
      </c>
      <c r="Y61" s="177">
        <f t="shared" si="119"/>
        <v>0</v>
      </c>
      <c r="Z61" s="177">
        <f t="shared" si="120"/>
        <v>0</v>
      </c>
      <c r="AA61" s="177">
        <f t="shared" si="121"/>
        <v>0</v>
      </c>
      <c r="AB61" s="179">
        <f t="shared" si="122"/>
        <v>0</v>
      </c>
      <c r="AC61" s="177">
        <f t="shared" si="123"/>
        <v>0</v>
      </c>
      <c r="AD61" s="177">
        <f t="shared" si="124"/>
        <v>0</v>
      </c>
      <c r="AE61" s="177">
        <f t="shared" si="125"/>
        <v>0</v>
      </c>
      <c r="AF61" s="177">
        <f t="shared" si="126"/>
        <v>0</v>
      </c>
      <c r="AG61" s="177">
        <f t="shared" si="127"/>
        <v>0</v>
      </c>
      <c r="AH61" s="177">
        <f t="shared" si="128"/>
        <v>0</v>
      </c>
      <c r="AI61" s="177">
        <f t="shared" si="129"/>
        <v>0</v>
      </c>
      <c r="AJ61" s="177">
        <f t="shared" si="130"/>
        <v>0</v>
      </c>
      <c r="AK61" s="179">
        <f t="shared" si="131"/>
        <v>0</v>
      </c>
      <c r="AL61" s="177">
        <f t="shared" si="132"/>
        <v>0</v>
      </c>
      <c r="AM61" s="177">
        <f t="shared" si="133"/>
        <v>0</v>
      </c>
      <c r="AN61" s="177">
        <f t="shared" si="134"/>
        <v>0</v>
      </c>
      <c r="AO61" s="177">
        <f t="shared" si="135"/>
        <v>0</v>
      </c>
      <c r="AP61" s="177">
        <f t="shared" si="135"/>
        <v>0</v>
      </c>
      <c r="AQ61" s="177">
        <f t="shared" si="136"/>
        <v>0</v>
      </c>
      <c r="AR61" s="177">
        <f t="shared" si="137"/>
        <v>0</v>
      </c>
      <c r="AS61" s="178">
        <f t="shared" si="138"/>
        <v>0</v>
      </c>
      <c r="AT61" s="177"/>
      <c r="AU61" s="177"/>
      <c r="AV61" s="177"/>
      <c r="AW61" s="177"/>
      <c r="AX61" s="177"/>
      <c r="AY61" s="177"/>
      <c r="AZ61" s="177"/>
      <c r="BA61" s="177"/>
      <c r="BB61" s="177"/>
      <c r="BC61" s="177"/>
      <c r="BD61" s="177"/>
      <c r="BE61" s="177"/>
      <c r="BF61" s="179"/>
      <c r="BG61" s="177"/>
      <c r="BH61" s="177"/>
      <c r="BI61" s="177"/>
      <c r="BJ61" s="177"/>
      <c r="BK61" s="177"/>
      <c r="BL61" s="177"/>
      <c r="BM61" s="177"/>
      <c r="BN61" s="177"/>
      <c r="BO61" s="177"/>
      <c r="BP61" s="177"/>
      <c r="BQ61" s="177"/>
      <c r="BR61" s="179"/>
      <c r="BS61" s="177"/>
      <c r="BT61" s="177"/>
      <c r="BU61" s="177"/>
      <c r="BV61" s="177"/>
      <c r="BW61" s="177"/>
      <c r="BX61" s="177"/>
      <c r="BY61" s="177"/>
      <c r="BZ61" s="177"/>
      <c r="CA61" s="177"/>
      <c r="CB61" s="179"/>
      <c r="CC61" s="177"/>
      <c r="CD61" s="177"/>
      <c r="CE61" s="177"/>
      <c r="CF61" s="177"/>
      <c r="CG61" s="177"/>
      <c r="CH61" s="177"/>
      <c r="CI61" s="177"/>
      <c r="CJ61" s="177"/>
      <c r="CK61" s="178"/>
      <c r="CL61" s="180">
        <v>907545</v>
      </c>
    </row>
    <row r="62" spans="1:90">
      <c r="A62" s="93">
        <f>ROWS($A$3:A60)</f>
        <v>58</v>
      </c>
      <c r="B62" s="106" t="s">
        <v>59</v>
      </c>
      <c r="C62" s="242">
        <v>2008</v>
      </c>
      <c r="D62" s="314" t="s">
        <v>14</v>
      </c>
      <c r="E62" s="316">
        <v>40442</v>
      </c>
      <c r="F62" s="156">
        <v>791</v>
      </c>
      <c r="G62" s="177">
        <v>406</v>
      </c>
      <c r="H62" s="177">
        <v>1015</v>
      </c>
      <c r="I62" s="178">
        <v>385</v>
      </c>
      <c r="J62" s="181"/>
      <c r="K62" s="156">
        <f t="shared" si="107"/>
        <v>87</v>
      </c>
      <c r="L62" s="177">
        <f t="shared" si="108"/>
        <v>179</v>
      </c>
      <c r="M62" s="177">
        <f t="shared" si="109"/>
        <v>51</v>
      </c>
      <c r="N62" s="177">
        <f t="shared" si="110"/>
        <v>41</v>
      </c>
      <c r="O62" s="177">
        <f t="shared" si="111"/>
        <v>16</v>
      </c>
      <c r="P62" s="177">
        <f t="shared" si="112"/>
        <v>122</v>
      </c>
      <c r="Q62" s="177">
        <f>'2008'!AU62</f>
        <v>29</v>
      </c>
      <c r="R62" s="177">
        <f t="shared" si="113"/>
        <v>52</v>
      </c>
      <c r="S62" s="177">
        <f t="shared" si="114"/>
        <v>41</v>
      </c>
      <c r="T62" s="177">
        <f t="shared" si="115"/>
        <v>80</v>
      </c>
      <c r="U62" s="179">
        <f t="shared" si="115"/>
        <v>93</v>
      </c>
      <c r="V62" s="177">
        <f t="shared" si="116"/>
        <v>78</v>
      </c>
      <c r="W62" s="177">
        <f t="shared" si="117"/>
        <v>51</v>
      </c>
      <c r="X62" s="177">
        <f t="shared" si="118"/>
        <v>54</v>
      </c>
      <c r="Y62" s="177">
        <f t="shared" si="119"/>
        <v>66</v>
      </c>
      <c r="Z62" s="177">
        <f t="shared" si="120"/>
        <v>42</v>
      </c>
      <c r="AA62" s="177">
        <f t="shared" si="121"/>
        <v>51</v>
      </c>
      <c r="AB62" s="179">
        <f t="shared" si="122"/>
        <v>64</v>
      </c>
      <c r="AC62" s="177">
        <f t="shared" si="123"/>
        <v>123</v>
      </c>
      <c r="AD62" s="177">
        <f t="shared" si="124"/>
        <v>78</v>
      </c>
      <c r="AE62" s="177">
        <f t="shared" si="125"/>
        <v>127</v>
      </c>
      <c r="AF62" s="177">
        <f t="shared" si="126"/>
        <v>132</v>
      </c>
      <c r="AG62" s="177">
        <f t="shared" si="127"/>
        <v>146</v>
      </c>
      <c r="AH62" s="177">
        <f t="shared" si="128"/>
        <v>101</v>
      </c>
      <c r="AI62" s="177">
        <f t="shared" si="129"/>
        <v>44</v>
      </c>
      <c r="AJ62" s="177">
        <f t="shared" si="130"/>
        <v>71</v>
      </c>
      <c r="AK62" s="179">
        <f t="shared" si="131"/>
        <v>193</v>
      </c>
      <c r="AL62" s="177">
        <f t="shared" si="132"/>
        <v>42</v>
      </c>
      <c r="AM62" s="177">
        <f t="shared" si="133"/>
        <v>52</v>
      </c>
      <c r="AN62" s="177">
        <f t="shared" si="134"/>
        <v>81</v>
      </c>
      <c r="AO62" s="177">
        <f t="shared" si="135"/>
        <v>45</v>
      </c>
      <c r="AP62" s="177">
        <f t="shared" si="135"/>
        <v>14</v>
      </c>
      <c r="AQ62" s="177">
        <f t="shared" si="136"/>
        <v>66</v>
      </c>
      <c r="AR62" s="177">
        <f t="shared" si="137"/>
        <v>42</v>
      </c>
      <c r="AS62" s="178">
        <f t="shared" si="138"/>
        <v>43</v>
      </c>
      <c r="AT62" s="181">
        <v>4</v>
      </c>
      <c r="AU62" s="181">
        <v>29</v>
      </c>
      <c r="AV62" s="181">
        <v>41</v>
      </c>
      <c r="AW62" s="181">
        <v>41</v>
      </c>
      <c r="AX62" s="181">
        <v>48</v>
      </c>
      <c r="AY62" s="177">
        <v>179</v>
      </c>
      <c r="AZ62" s="177">
        <v>8</v>
      </c>
      <c r="BA62" s="177">
        <v>114</v>
      </c>
      <c r="BB62" s="177">
        <v>80</v>
      </c>
      <c r="BC62" s="177">
        <v>93</v>
      </c>
      <c r="BD62" s="177">
        <v>51</v>
      </c>
      <c r="BE62" s="177">
        <v>16</v>
      </c>
      <c r="BF62" s="179">
        <v>87</v>
      </c>
      <c r="BG62" s="177">
        <v>9</v>
      </c>
      <c r="BH62" s="177">
        <v>4</v>
      </c>
      <c r="BI62" s="177">
        <v>50</v>
      </c>
      <c r="BJ62" s="177">
        <v>69</v>
      </c>
      <c r="BK62" s="177">
        <v>9</v>
      </c>
      <c r="BL62" s="177">
        <v>3</v>
      </c>
      <c r="BM62" s="177">
        <v>42</v>
      </c>
      <c r="BN62" s="177">
        <v>54</v>
      </c>
      <c r="BO62" s="177">
        <v>7</v>
      </c>
      <c r="BP62" s="177">
        <v>64</v>
      </c>
      <c r="BQ62" s="177">
        <v>44</v>
      </c>
      <c r="BR62" s="179">
        <v>51</v>
      </c>
      <c r="BS62" s="177">
        <v>9</v>
      </c>
      <c r="BT62" s="177">
        <v>118</v>
      </c>
      <c r="BU62" s="177">
        <v>78</v>
      </c>
      <c r="BV62" s="177">
        <v>146</v>
      </c>
      <c r="BW62" s="177">
        <v>44</v>
      </c>
      <c r="BX62" s="177">
        <v>123</v>
      </c>
      <c r="BY62" s="177">
        <v>71</v>
      </c>
      <c r="BZ62" s="177">
        <v>101</v>
      </c>
      <c r="CA62" s="177">
        <v>132</v>
      </c>
      <c r="CB62" s="179">
        <v>193</v>
      </c>
      <c r="CC62" s="177">
        <v>45</v>
      </c>
      <c r="CD62" s="177">
        <v>14</v>
      </c>
      <c r="CE62" s="177">
        <v>42</v>
      </c>
      <c r="CF62" s="177">
        <v>3</v>
      </c>
      <c r="CG62" s="177">
        <v>40</v>
      </c>
      <c r="CH62" s="177">
        <v>52</v>
      </c>
      <c r="CI62" s="177">
        <v>42</v>
      </c>
      <c r="CJ62" s="177">
        <v>81</v>
      </c>
      <c r="CK62" s="178">
        <v>66</v>
      </c>
      <c r="CL62" s="180">
        <v>2597</v>
      </c>
    </row>
    <row r="63" spans="1:90">
      <c r="A63" s="93">
        <f>ROWS($A$3:A61)</f>
        <v>59</v>
      </c>
      <c r="B63" s="106"/>
      <c r="C63" s="243"/>
      <c r="D63" s="314" t="s">
        <v>1</v>
      </c>
      <c r="E63" s="333"/>
      <c r="F63" s="156">
        <v>279632</v>
      </c>
      <c r="G63" s="177">
        <v>195662</v>
      </c>
      <c r="H63" s="177">
        <v>147874</v>
      </c>
      <c r="I63" s="178">
        <v>295189</v>
      </c>
      <c r="J63" s="181"/>
      <c r="K63" s="156">
        <f t="shared" si="107"/>
        <v>40281</v>
      </c>
      <c r="L63" s="177">
        <f t="shared" si="108"/>
        <v>7673</v>
      </c>
      <c r="M63" s="177">
        <f t="shared" si="109"/>
        <v>51742</v>
      </c>
      <c r="N63" s="177">
        <f t="shared" si="110"/>
        <v>21225</v>
      </c>
      <c r="O63" s="177">
        <f t="shared" si="111"/>
        <v>59207</v>
      </c>
      <c r="P63" s="177">
        <f t="shared" si="112"/>
        <v>27456</v>
      </c>
      <c r="Q63" s="177">
        <f>'2008'!AU63</f>
        <v>26417</v>
      </c>
      <c r="R63" s="177">
        <f t="shared" si="113"/>
        <v>16873</v>
      </c>
      <c r="S63" s="177">
        <f t="shared" si="114"/>
        <v>9075</v>
      </c>
      <c r="T63" s="177">
        <f t="shared" si="115"/>
        <v>13640</v>
      </c>
      <c r="U63" s="179">
        <f t="shared" si="115"/>
        <v>6042</v>
      </c>
      <c r="V63" s="177">
        <f t="shared" si="116"/>
        <v>17344</v>
      </c>
      <c r="W63" s="177">
        <f t="shared" si="117"/>
        <v>16949</v>
      </c>
      <c r="X63" s="177">
        <f t="shared" si="118"/>
        <v>41890</v>
      </c>
      <c r="Y63" s="177">
        <f t="shared" si="119"/>
        <v>40175</v>
      </c>
      <c r="Z63" s="177">
        <f t="shared" si="120"/>
        <v>29657</v>
      </c>
      <c r="AA63" s="177">
        <f t="shared" si="121"/>
        <v>27461</v>
      </c>
      <c r="AB63" s="179">
        <f t="shared" si="122"/>
        <v>22186</v>
      </c>
      <c r="AC63" s="177">
        <f t="shared" si="123"/>
        <v>17138</v>
      </c>
      <c r="AD63" s="177">
        <f t="shared" si="124"/>
        <v>8052</v>
      </c>
      <c r="AE63" s="177">
        <f t="shared" si="125"/>
        <v>18998</v>
      </c>
      <c r="AF63" s="177">
        <f t="shared" si="126"/>
        <v>9538</v>
      </c>
      <c r="AG63" s="177">
        <f t="shared" si="127"/>
        <v>19314</v>
      </c>
      <c r="AH63" s="177">
        <f t="shared" si="128"/>
        <v>20918</v>
      </c>
      <c r="AI63" s="177">
        <f t="shared" si="129"/>
        <v>18038</v>
      </c>
      <c r="AJ63" s="177">
        <f t="shared" si="130"/>
        <v>14778</v>
      </c>
      <c r="AK63" s="179">
        <f t="shared" si="131"/>
        <v>21098</v>
      </c>
      <c r="AL63" s="177">
        <f t="shared" si="132"/>
        <v>27350</v>
      </c>
      <c r="AM63" s="177">
        <f t="shared" si="133"/>
        <v>26428</v>
      </c>
      <c r="AN63" s="177">
        <f t="shared" si="134"/>
        <v>20580</v>
      </c>
      <c r="AO63" s="177">
        <f t="shared" si="135"/>
        <v>65812</v>
      </c>
      <c r="AP63" s="177">
        <f t="shared" si="135"/>
        <v>12118</v>
      </c>
      <c r="AQ63" s="177">
        <f t="shared" si="136"/>
        <v>40540</v>
      </c>
      <c r="AR63" s="177">
        <f t="shared" si="137"/>
        <v>8313</v>
      </c>
      <c r="AS63" s="178">
        <f t="shared" si="138"/>
        <v>94048</v>
      </c>
      <c r="AT63" s="177">
        <v>1262</v>
      </c>
      <c r="AU63" s="177">
        <v>26417</v>
      </c>
      <c r="AV63" s="177">
        <v>9075</v>
      </c>
      <c r="AW63" s="177">
        <v>21225</v>
      </c>
      <c r="AX63" s="177">
        <v>15611</v>
      </c>
      <c r="AY63" s="177">
        <v>7673</v>
      </c>
      <c r="AZ63" s="177">
        <v>2749</v>
      </c>
      <c r="BA63" s="177">
        <v>24707</v>
      </c>
      <c r="BB63" s="177">
        <v>13640</v>
      </c>
      <c r="BC63" s="177">
        <v>6042</v>
      </c>
      <c r="BD63" s="177">
        <v>51742</v>
      </c>
      <c r="BE63" s="177">
        <v>59207</v>
      </c>
      <c r="BF63" s="179">
        <v>40281</v>
      </c>
      <c r="BG63" s="177">
        <v>2570</v>
      </c>
      <c r="BH63" s="177">
        <v>6757</v>
      </c>
      <c r="BI63" s="177">
        <v>35133</v>
      </c>
      <c r="BJ63" s="177">
        <v>14774</v>
      </c>
      <c r="BK63" s="177">
        <v>4213</v>
      </c>
      <c r="BL63" s="177">
        <v>2956</v>
      </c>
      <c r="BM63" s="177">
        <v>29657</v>
      </c>
      <c r="BN63" s="177">
        <v>33006</v>
      </c>
      <c r="BO63" s="177">
        <v>3968</v>
      </c>
      <c r="BP63" s="177">
        <v>22186</v>
      </c>
      <c r="BQ63" s="177">
        <v>23493</v>
      </c>
      <c r="BR63" s="179">
        <v>16949</v>
      </c>
      <c r="BS63" s="177">
        <v>2004</v>
      </c>
      <c r="BT63" s="177">
        <v>16994</v>
      </c>
      <c r="BU63" s="177">
        <v>8052</v>
      </c>
      <c r="BV63" s="177">
        <v>19314</v>
      </c>
      <c r="BW63" s="177">
        <v>18038</v>
      </c>
      <c r="BX63" s="177">
        <v>17138</v>
      </c>
      <c r="BY63" s="177">
        <v>14778</v>
      </c>
      <c r="BZ63" s="177">
        <v>20918</v>
      </c>
      <c r="CA63" s="177">
        <v>9538</v>
      </c>
      <c r="CB63" s="179">
        <v>21098</v>
      </c>
      <c r="CC63" s="177">
        <v>65812</v>
      </c>
      <c r="CD63" s="177">
        <v>12118</v>
      </c>
      <c r="CE63" s="177">
        <v>27350</v>
      </c>
      <c r="CF63" s="177">
        <v>827</v>
      </c>
      <c r="CG63" s="177">
        <v>93221</v>
      </c>
      <c r="CH63" s="177">
        <v>26428</v>
      </c>
      <c r="CI63" s="177">
        <v>8313</v>
      </c>
      <c r="CJ63" s="177">
        <v>20580</v>
      </c>
      <c r="CK63" s="178">
        <v>40540</v>
      </c>
      <c r="CL63" s="180">
        <v>918358</v>
      </c>
    </row>
    <row r="64" spans="1:90">
      <c r="A64" s="93">
        <f>ROWS($A$3:A62)</f>
        <v>60</v>
      </c>
      <c r="B64" s="67" t="s">
        <v>86</v>
      </c>
      <c r="C64" s="243"/>
      <c r="D64" s="314"/>
      <c r="E64" s="333"/>
      <c r="F64" s="156"/>
      <c r="G64" s="177"/>
      <c r="H64" s="177"/>
      <c r="I64" s="178"/>
      <c r="J64" s="181"/>
      <c r="K64" s="156"/>
      <c r="L64" s="177"/>
      <c r="M64" s="177"/>
      <c r="N64" s="177"/>
      <c r="O64" s="177"/>
      <c r="P64" s="177"/>
      <c r="Q64" s="177"/>
      <c r="R64" s="177"/>
      <c r="S64" s="177"/>
      <c r="T64" s="177"/>
      <c r="U64" s="179"/>
      <c r="V64" s="177"/>
      <c r="W64" s="177"/>
      <c r="X64" s="177"/>
      <c r="Y64" s="177"/>
      <c r="Z64" s="177"/>
      <c r="AA64" s="177"/>
      <c r="AB64" s="179"/>
      <c r="AC64" s="177"/>
      <c r="AD64" s="177"/>
      <c r="AE64" s="177"/>
      <c r="AF64" s="177"/>
      <c r="AG64" s="177"/>
      <c r="AH64" s="177"/>
      <c r="AI64" s="177"/>
      <c r="AJ64" s="177"/>
      <c r="AK64" s="179"/>
      <c r="AL64" s="177"/>
      <c r="AM64" s="177"/>
      <c r="AN64" s="177"/>
      <c r="AO64" s="177"/>
      <c r="AP64" s="177"/>
      <c r="AQ64" s="177"/>
      <c r="AR64" s="177"/>
      <c r="AS64" s="178"/>
      <c r="AT64" s="177"/>
      <c r="AU64" s="177"/>
      <c r="AV64" s="177"/>
      <c r="AW64" s="177"/>
      <c r="AX64" s="177"/>
      <c r="AY64" s="177"/>
      <c r="AZ64" s="177"/>
      <c r="BA64" s="177"/>
      <c r="BB64" s="177"/>
      <c r="BC64" s="177"/>
      <c r="BD64" s="177"/>
      <c r="BE64" s="177"/>
      <c r="BF64" s="179"/>
      <c r="BG64" s="177"/>
      <c r="BH64" s="177"/>
      <c r="BI64" s="177"/>
      <c r="BJ64" s="177"/>
      <c r="BK64" s="177"/>
      <c r="BL64" s="177"/>
      <c r="BM64" s="177"/>
      <c r="BN64" s="177"/>
      <c r="BO64" s="177"/>
      <c r="BP64" s="177"/>
      <c r="BQ64" s="177"/>
      <c r="BR64" s="179"/>
      <c r="BS64" s="177"/>
      <c r="BT64" s="177"/>
      <c r="BU64" s="177"/>
      <c r="BV64" s="177"/>
      <c r="BW64" s="177"/>
      <c r="BX64" s="177"/>
      <c r="BY64" s="177"/>
      <c r="BZ64" s="177"/>
      <c r="CA64" s="177"/>
      <c r="CB64" s="179"/>
      <c r="CC64" s="177"/>
      <c r="CD64" s="177"/>
      <c r="CE64" s="177"/>
      <c r="CF64" s="177"/>
      <c r="CG64" s="177"/>
      <c r="CH64" s="177"/>
      <c r="CI64" s="177"/>
      <c r="CJ64" s="177"/>
      <c r="CK64" s="178"/>
      <c r="CL64" s="180"/>
    </row>
    <row r="65" spans="1:90">
      <c r="A65" s="93">
        <f>ROWS($A$3:A63)</f>
        <v>61</v>
      </c>
      <c r="B65" s="62" t="s">
        <v>85</v>
      </c>
      <c r="C65" s="242">
        <v>2008</v>
      </c>
      <c r="D65" s="314" t="s">
        <v>62</v>
      </c>
      <c r="E65" s="333"/>
      <c r="F65" s="182">
        <f>SUM(AT65:BF65)</f>
        <v>282814.08999999997</v>
      </c>
      <c r="G65" s="183">
        <f>SUM(BG65:BR65)</f>
        <v>75094.25</v>
      </c>
      <c r="H65" s="183">
        <f>SUM(BS65:CB65)</f>
        <v>224749.84000000003</v>
      </c>
      <c r="I65" s="184">
        <f>SUM(CC65:CK65)</f>
        <v>231643.71</v>
      </c>
      <c r="J65" s="181">
        <f t="shared" ref="J65:AK65" si="139">J35*J93%</f>
        <v>0</v>
      </c>
      <c r="K65" s="185">
        <f t="shared" si="139"/>
        <v>64119.909999999996</v>
      </c>
      <c r="L65" s="186">
        <f t="shared" si="139"/>
        <v>16787.84</v>
      </c>
      <c r="M65" s="186">
        <f t="shared" si="139"/>
        <v>45707.64</v>
      </c>
      <c r="N65" s="186">
        <f t="shared" si="139"/>
        <v>21340.5</v>
      </c>
      <c r="O65" s="186">
        <f t="shared" si="139"/>
        <v>13707.2</v>
      </c>
      <c r="P65" s="177">
        <f t="shared" si="139"/>
        <v>4384.1600000000008</v>
      </c>
      <c r="Q65" s="186">
        <f t="shared" si="139"/>
        <v>11514.78</v>
      </c>
      <c r="R65" s="186">
        <f t="shared" si="139"/>
        <v>0</v>
      </c>
      <c r="S65" s="186">
        <f t="shared" si="139"/>
        <v>11758.109999999999</v>
      </c>
      <c r="T65" s="186">
        <f t="shared" si="139"/>
        <v>21397.56</v>
      </c>
      <c r="U65" s="187">
        <f t="shared" si="139"/>
        <v>72096.39</v>
      </c>
      <c r="V65" s="186">
        <f t="shared" si="139"/>
        <v>2989.0499999999997</v>
      </c>
      <c r="W65" s="186">
        <f t="shared" si="139"/>
        <v>16013.779999999999</v>
      </c>
      <c r="X65" s="186">
        <f t="shared" si="139"/>
        <v>1495.8799999999999</v>
      </c>
      <c r="Y65" s="186">
        <f t="shared" si="139"/>
        <v>2712.2599999999998</v>
      </c>
      <c r="Z65" s="186">
        <f t="shared" si="139"/>
        <v>30455.100000000002</v>
      </c>
      <c r="AA65" s="186">
        <f t="shared" si="139"/>
        <v>8445.6200000000008</v>
      </c>
      <c r="AB65" s="187">
        <f t="shared" si="139"/>
        <v>12982.56</v>
      </c>
      <c r="AC65" s="186">
        <f t="shared" si="139"/>
        <v>37891.199999999997</v>
      </c>
      <c r="AD65" s="186">
        <f t="shared" si="139"/>
        <v>10548.26</v>
      </c>
      <c r="AE65" s="186">
        <f t="shared" si="139"/>
        <v>25633.859999999997</v>
      </c>
      <c r="AF65" s="186">
        <f t="shared" si="139"/>
        <v>13626.419999999998</v>
      </c>
      <c r="AG65" s="186">
        <f t="shared" si="139"/>
        <v>22344.38</v>
      </c>
      <c r="AH65" s="186">
        <f t="shared" si="139"/>
        <v>20359.719999999998</v>
      </c>
      <c r="AI65" s="186">
        <f t="shared" si="139"/>
        <v>30854</v>
      </c>
      <c r="AJ65" s="186">
        <f t="shared" si="139"/>
        <v>24325</v>
      </c>
      <c r="AK65" s="187">
        <f t="shared" si="139"/>
        <v>39167</v>
      </c>
      <c r="AL65" s="186">
        <f t="shared" ref="AL65:BQ65" si="140">AL35*AL93%</f>
        <v>33426.82</v>
      </c>
      <c r="AM65" s="186">
        <f t="shared" si="140"/>
        <v>11637.3</v>
      </c>
      <c r="AN65" s="186">
        <f t="shared" si="140"/>
        <v>50914.719999999994</v>
      </c>
      <c r="AO65" s="186">
        <f t="shared" si="140"/>
        <v>42481.04</v>
      </c>
      <c r="AP65" s="186">
        <f t="shared" si="140"/>
        <v>10530.04</v>
      </c>
      <c r="AQ65" s="186">
        <f t="shared" si="140"/>
        <v>40282.129999999997</v>
      </c>
      <c r="AR65" s="186">
        <f t="shared" si="140"/>
        <v>8855.34</v>
      </c>
      <c r="AS65" s="190">
        <f t="shared" si="140"/>
        <v>33516.32</v>
      </c>
      <c r="AT65" s="186">
        <f t="shared" si="140"/>
        <v>0</v>
      </c>
      <c r="AU65" s="183">
        <f t="shared" si="140"/>
        <v>11514.78</v>
      </c>
      <c r="AV65" s="183">
        <f t="shared" si="140"/>
        <v>11758.109999999999</v>
      </c>
      <c r="AW65" s="183">
        <f t="shared" si="140"/>
        <v>21340.5</v>
      </c>
      <c r="AX65" s="183">
        <f t="shared" si="140"/>
        <v>0</v>
      </c>
      <c r="AY65" s="183">
        <f t="shared" si="140"/>
        <v>16787.84</v>
      </c>
      <c r="AZ65" s="183">
        <f t="shared" si="140"/>
        <v>0</v>
      </c>
      <c r="BA65" s="183">
        <f t="shared" si="140"/>
        <v>4384.16</v>
      </c>
      <c r="BB65" s="183">
        <f t="shared" si="140"/>
        <v>21397.56</v>
      </c>
      <c r="BC65" s="183">
        <f t="shared" si="140"/>
        <v>72096.39</v>
      </c>
      <c r="BD65" s="183">
        <f t="shared" si="140"/>
        <v>45707.64</v>
      </c>
      <c r="BE65" s="183">
        <f t="shared" si="140"/>
        <v>13707.2</v>
      </c>
      <c r="BF65" s="188">
        <f t="shared" si="140"/>
        <v>64119.909999999996</v>
      </c>
      <c r="BG65" s="183">
        <f t="shared" si="140"/>
        <v>1204.05</v>
      </c>
      <c r="BH65" s="183">
        <f t="shared" si="140"/>
        <v>0</v>
      </c>
      <c r="BI65" s="183">
        <f t="shared" si="140"/>
        <v>1495.88</v>
      </c>
      <c r="BJ65" s="183">
        <f t="shared" si="140"/>
        <v>1785</v>
      </c>
      <c r="BK65" s="183">
        <f t="shared" si="140"/>
        <v>18.38</v>
      </c>
      <c r="BL65" s="183">
        <f t="shared" si="140"/>
        <v>0</v>
      </c>
      <c r="BM65" s="183">
        <f t="shared" si="140"/>
        <v>30455.100000000002</v>
      </c>
      <c r="BN65" s="183">
        <f t="shared" si="140"/>
        <v>2693.88</v>
      </c>
      <c r="BO65" s="183">
        <f t="shared" si="140"/>
        <v>208.10999999999999</v>
      </c>
      <c r="BP65" s="183">
        <f t="shared" si="140"/>
        <v>12982.56</v>
      </c>
      <c r="BQ65" s="183">
        <f t="shared" si="140"/>
        <v>8237.51</v>
      </c>
      <c r="BR65" s="188">
        <f t="shared" ref="BR65:CK65" si="141">BR35*BR93%</f>
        <v>16013.779999999999</v>
      </c>
      <c r="BS65" s="183">
        <f t="shared" si="141"/>
        <v>748.86</v>
      </c>
      <c r="BT65" s="183">
        <f t="shared" si="141"/>
        <v>24885</v>
      </c>
      <c r="BU65" s="183">
        <f t="shared" si="141"/>
        <v>10548.26</v>
      </c>
      <c r="BV65" s="183">
        <f t="shared" si="141"/>
        <v>22344.38</v>
      </c>
      <c r="BW65" s="183">
        <f t="shared" si="141"/>
        <v>30854</v>
      </c>
      <c r="BX65" s="183">
        <f t="shared" si="141"/>
        <v>37891.199999999997</v>
      </c>
      <c r="BY65" s="183">
        <f t="shared" si="141"/>
        <v>24325</v>
      </c>
      <c r="BZ65" s="183">
        <f t="shared" si="141"/>
        <v>20359.719999999998</v>
      </c>
      <c r="CA65" s="183">
        <f t="shared" si="141"/>
        <v>13626.419999999998</v>
      </c>
      <c r="CB65" s="188">
        <f t="shared" si="141"/>
        <v>39167</v>
      </c>
      <c r="CC65" s="183">
        <f t="shared" si="141"/>
        <v>42481.04</v>
      </c>
      <c r="CD65" s="183">
        <f t="shared" si="141"/>
        <v>10530.04</v>
      </c>
      <c r="CE65" s="183">
        <f t="shared" si="141"/>
        <v>33426.82</v>
      </c>
      <c r="CF65" s="183">
        <f t="shared" si="141"/>
        <v>334.6</v>
      </c>
      <c r="CG65" s="183">
        <f t="shared" si="141"/>
        <v>33181.72</v>
      </c>
      <c r="CH65" s="183">
        <f t="shared" si="141"/>
        <v>11637.3</v>
      </c>
      <c r="CI65" s="183">
        <f t="shared" si="141"/>
        <v>8855.34</v>
      </c>
      <c r="CJ65" s="183">
        <f t="shared" si="141"/>
        <v>50914.719999999994</v>
      </c>
      <c r="CK65" s="184">
        <f t="shared" si="141"/>
        <v>40282.129999999997</v>
      </c>
      <c r="CL65" s="180">
        <f>SUM(AT65:CK65)</f>
        <v>814301.89</v>
      </c>
    </row>
    <row r="66" spans="1:90">
      <c r="A66" s="93">
        <f>ROWS($A$3:A64)</f>
        <v>62</v>
      </c>
      <c r="B66" s="106" t="s">
        <v>281</v>
      </c>
      <c r="C66" s="243"/>
      <c r="D66" s="314" t="s">
        <v>56</v>
      </c>
      <c r="E66" s="333"/>
      <c r="F66" s="156">
        <f>SUM(AT66:BF66)</f>
        <v>200322</v>
      </c>
      <c r="G66" s="177">
        <f>SUM(BG66:BR66)</f>
        <v>54689</v>
      </c>
      <c r="H66" s="177">
        <f>SUM(BS66:CB66)</f>
        <v>117983</v>
      </c>
      <c r="I66" s="178">
        <f>SUM(CC66:CK66)</f>
        <v>171231</v>
      </c>
      <c r="J66" s="181"/>
      <c r="K66" s="156">
        <f>BF66</f>
        <v>46236</v>
      </c>
      <c r="L66" s="177">
        <f>AY66</f>
        <v>12677</v>
      </c>
      <c r="M66" s="177">
        <f>BD66</f>
        <v>31428</v>
      </c>
      <c r="N66" s="177">
        <f>AW66</f>
        <v>13692</v>
      </c>
      <c r="O66" s="177">
        <f>BE66</f>
        <v>11577</v>
      </c>
      <c r="P66" s="177">
        <f>AZ66+BA66</f>
        <v>2794</v>
      </c>
      <c r="Q66" s="177">
        <f>AU66</f>
        <v>8693</v>
      </c>
      <c r="R66" s="177">
        <f>AT66+AX66</f>
        <v>631</v>
      </c>
      <c r="S66" s="177">
        <f>AV66</f>
        <v>7627</v>
      </c>
      <c r="T66" s="177">
        <f>BB66</f>
        <v>14721</v>
      </c>
      <c r="U66" s="179">
        <f>BC66</f>
        <v>50246</v>
      </c>
      <c r="V66" s="177">
        <f>BG66+BJ66</f>
        <v>1890</v>
      </c>
      <c r="W66" s="177">
        <f>BR66</f>
        <v>12023</v>
      </c>
      <c r="X66" s="177">
        <f>BH66+BI66</f>
        <v>1414</v>
      </c>
      <c r="Y66" s="177">
        <f>BK66+BL66+BN66</f>
        <v>2995</v>
      </c>
      <c r="Z66" s="177">
        <f>BM66</f>
        <v>20463</v>
      </c>
      <c r="AA66" s="177">
        <f>BO66+BQ66</f>
        <v>6155</v>
      </c>
      <c r="AB66" s="179">
        <f>BP66</f>
        <v>9749</v>
      </c>
      <c r="AC66" s="177">
        <f>BX66</f>
        <v>20425</v>
      </c>
      <c r="AD66" s="177">
        <f>BU66</f>
        <v>6288</v>
      </c>
      <c r="AE66" s="177">
        <f>BS66+BT66</f>
        <v>4818</v>
      </c>
      <c r="AF66" s="177">
        <f>CA66</f>
        <v>4169</v>
      </c>
      <c r="AG66" s="177">
        <f>BV66</f>
        <v>14727</v>
      </c>
      <c r="AH66" s="177">
        <f>BZ66</f>
        <v>14789</v>
      </c>
      <c r="AI66" s="177">
        <f>BW66</f>
        <v>21580</v>
      </c>
      <c r="AJ66" s="177">
        <f>BY66</f>
        <v>11669</v>
      </c>
      <c r="AK66" s="179">
        <f>CB66</f>
        <v>19518</v>
      </c>
      <c r="AL66" s="177">
        <f>CE66</f>
        <v>16125</v>
      </c>
      <c r="AM66" s="177">
        <f>CH66</f>
        <v>10678</v>
      </c>
      <c r="AN66" s="177">
        <f>CJ66</f>
        <v>45061</v>
      </c>
      <c r="AO66" s="177">
        <f>CC66</f>
        <v>32410</v>
      </c>
      <c r="AP66" s="177">
        <f>CD66</f>
        <v>7290</v>
      </c>
      <c r="AQ66" s="177">
        <f>CK66</f>
        <v>28745</v>
      </c>
      <c r="AR66" s="177">
        <f>CI66</f>
        <v>5761</v>
      </c>
      <c r="AS66" s="178">
        <f>CF66+CG66</f>
        <v>25161</v>
      </c>
      <c r="AT66" s="181">
        <v>0</v>
      </c>
      <c r="AU66" s="177">
        <v>8693</v>
      </c>
      <c r="AV66" s="177">
        <f>8400-773</f>
        <v>7627</v>
      </c>
      <c r="AW66" s="181">
        <f>17546-3854</f>
        <v>13692</v>
      </c>
      <c r="AX66" s="177">
        <v>631</v>
      </c>
      <c r="AY66" s="177">
        <v>12677</v>
      </c>
      <c r="AZ66" s="177">
        <v>0</v>
      </c>
      <c r="BA66" s="177">
        <f>2993-199</f>
        <v>2794</v>
      </c>
      <c r="BB66" s="177">
        <v>14721</v>
      </c>
      <c r="BC66" s="177">
        <v>50246</v>
      </c>
      <c r="BD66" s="177">
        <v>31428</v>
      </c>
      <c r="BE66" s="177">
        <v>11577</v>
      </c>
      <c r="BF66" s="179">
        <f>46752-516</f>
        <v>46236</v>
      </c>
      <c r="BG66" s="177">
        <v>0</v>
      </c>
      <c r="BH66" s="177">
        <v>0</v>
      </c>
      <c r="BI66" s="177">
        <v>1414</v>
      </c>
      <c r="BJ66" s="177">
        <f>2152-262</f>
        <v>1890</v>
      </c>
      <c r="BK66" s="177">
        <v>0</v>
      </c>
      <c r="BL66" s="177">
        <v>0</v>
      </c>
      <c r="BM66" s="177">
        <v>20463</v>
      </c>
      <c r="BN66" s="177">
        <v>2995</v>
      </c>
      <c r="BO66" s="177">
        <v>0</v>
      </c>
      <c r="BP66" s="177">
        <f>10329-580</f>
        <v>9749</v>
      </c>
      <c r="BQ66" s="177">
        <f>6220-65</f>
        <v>6155</v>
      </c>
      <c r="BR66" s="179">
        <f>13435-1412</f>
        <v>12023</v>
      </c>
      <c r="BS66" s="177">
        <v>0</v>
      </c>
      <c r="BT66" s="177">
        <f>5193+18574-18949</f>
        <v>4818</v>
      </c>
      <c r="BU66" s="177">
        <f>8465-2177</f>
        <v>6288</v>
      </c>
      <c r="BV66" s="177">
        <f>17085-2358</f>
        <v>14727</v>
      </c>
      <c r="BW66" s="177">
        <f>23529-1949</f>
        <v>21580</v>
      </c>
      <c r="BX66" s="177">
        <f>33350-12925</f>
        <v>20425</v>
      </c>
      <c r="BY66" s="177">
        <f>20610-8941</f>
        <v>11669</v>
      </c>
      <c r="BZ66" s="177">
        <f>14911-122</f>
        <v>14789</v>
      </c>
      <c r="CA66" s="177">
        <f>12538-8369</f>
        <v>4169</v>
      </c>
      <c r="CB66" s="179">
        <f>31575-12057</f>
        <v>19518</v>
      </c>
      <c r="CC66" s="177">
        <f>33419-1009</f>
        <v>32410</v>
      </c>
      <c r="CD66" s="177">
        <f>7534-244</f>
        <v>7290</v>
      </c>
      <c r="CE66" s="177">
        <f>28729-12604</f>
        <v>16125</v>
      </c>
      <c r="CF66" s="177">
        <v>0</v>
      </c>
      <c r="CG66" s="177">
        <f>26590-1429</f>
        <v>25161</v>
      </c>
      <c r="CH66" s="177">
        <f>10703-25</f>
        <v>10678</v>
      </c>
      <c r="CI66" s="177">
        <f>6544-783</f>
        <v>5761</v>
      </c>
      <c r="CJ66" s="177">
        <f>17635+29272-1846</f>
        <v>45061</v>
      </c>
      <c r="CK66" s="178">
        <f>30902-2157</f>
        <v>28745</v>
      </c>
      <c r="CL66" s="180">
        <f>SUM(AT66:CK66)</f>
        <v>544225</v>
      </c>
    </row>
    <row r="67" spans="1:90">
      <c r="A67" s="93">
        <f>ROWS($A$3:A65)</f>
        <v>63</v>
      </c>
      <c r="B67" s="106" t="s">
        <v>282</v>
      </c>
      <c r="C67" s="243"/>
      <c r="D67" s="314" t="s">
        <v>56</v>
      </c>
      <c r="E67" s="333"/>
      <c r="F67" s="156">
        <f>SUM(AT67:BF67)</f>
        <v>5531</v>
      </c>
      <c r="G67" s="177">
        <f>SUM(BG67:BR67)</f>
        <v>2319</v>
      </c>
      <c r="H67" s="177">
        <f>SUM(BS67:CB67)</f>
        <v>67847</v>
      </c>
      <c r="I67" s="178">
        <f>SUM(CC67:CK67)</f>
        <v>20097</v>
      </c>
      <c r="J67" s="181"/>
      <c r="K67" s="156">
        <f>BF67</f>
        <v>516</v>
      </c>
      <c r="L67" s="177">
        <f>AY67</f>
        <v>0</v>
      </c>
      <c r="M67" s="177">
        <f>BD67</f>
        <v>0</v>
      </c>
      <c r="N67" s="177">
        <f>AW67</f>
        <v>3854</v>
      </c>
      <c r="O67" s="177">
        <f>BE67</f>
        <v>0</v>
      </c>
      <c r="P67" s="177">
        <f>AZ67+BA67</f>
        <v>199</v>
      </c>
      <c r="Q67" s="177">
        <f>AU67</f>
        <v>0</v>
      </c>
      <c r="R67" s="177">
        <f>AT67+AX67</f>
        <v>189</v>
      </c>
      <c r="S67" s="177">
        <f>AV67</f>
        <v>773</v>
      </c>
      <c r="T67" s="177">
        <f>BB67</f>
        <v>0</v>
      </c>
      <c r="U67" s="179">
        <f>BC67</f>
        <v>0</v>
      </c>
      <c r="V67" s="177">
        <f>BG67+BJ67</f>
        <v>262</v>
      </c>
      <c r="W67" s="177">
        <f>BR67</f>
        <v>1412</v>
      </c>
      <c r="X67" s="177">
        <f>BH67+BI67</f>
        <v>0</v>
      </c>
      <c r="Y67" s="177">
        <f>BK67+BL67+BN67</f>
        <v>0</v>
      </c>
      <c r="Z67" s="177">
        <f>BM67</f>
        <v>0</v>
      </c>
      <c r="AA67" s="177">
        <f>BO67+BQ67</f>
        <v>65</v>
      </c>
      <c r="AB67" s="179">
        <f>BP67</f>
        <v>580</v>
      </c>
      <c r="AC67" s="177">
        <f>BX67</f>
        <v>12925</v>
      </c>
      <c r="AD67" s="177">
        <f>BU67</f>
        <v>2177</v>
      </c>
      <c r="AE67" s="177">
        <f>BS67+BT67</f>
        <v>18949</v>
      </c>
      <c r="AF67" s="177">
        <f>CA67</f>
        <v>8369</v>
      </c>
      <c r="AG67" s="177">
        <f>BV67</f>
        <v>2358</v>
      </c>
      <c r="AH67" s="177">
        <f>BZ67</f>
        <v>122</v>
      </c>
      <c r="AI67" s="177">
        <f>BW67</f>
        <v>1949</v>
      </c>
      <c r="AJ67" s="177">
        <f>BY67</f>
        <v>8941</v>
      </c>
      <c r="AK67" s="179">
        <f>CB67</f>
        <v>12057</v>
      </c>
      <c r="AL67" s="177">
        <f>CE67</f>
        <v>12604</v>
      </c>
      <c r="AM67" s="177">
        <f>CH67</f>
        <v>25</v>
      </c>
      <c r="AN67" s="177">
        <f>CJ67</f>
        <v>1846</v>
      </c>
      <c r="AO67" s="177">
        <f>CC67</f>
        <v>1009</v>
      </c>
      <c r="AP67" s="177">
        <f>CD67</f>
        <v>244</v>
      </c>
      <c r="AQ67" s="177">
        <f>CK67</f>
        <v>2157</v>
      </c>
      <c r="AR67" s="177">
        <f>CI67</f>
        <v>783</v>
      </c>
      <c r="AS67" s="178">
        <f>CF67+CG67</f>
        <v>1429</v>
      </c>
      <c r="AT67" s="181">
        <v>0</v>
      </c>
      <c r="AU67" s="181">
        <v>0</v>
      </c>
      <c r="AV67" s="181">
        <v>773</v>
      </c>
      <c r="AW67" s="181">
        <v>3854</v>
      </c>
      <c r="AX67" s="181">
        <v>189</v>
      </c>
      <c r="AY67" s="177">
        <v>0</v>
      </c>
      <c r="AZ67" s="177">
        <v>0</v>
      </c>
      <c r="BA67" s="177">
        <v>199</v>
      </c>
      <c r="BB67" s="177">
        <v>0</v>
      </c>
      <c r="BC67" s="177">
        <v>0</v>
      </c>
      <c r="BD67" s="177">
        <v>0</v>
      </c>
      <c r="BE67" s="177">
        <v>0</v>
      </c>
      <c r="BF67" s="179">
        <v>516</v>
      </c>
      <c r="BG67" s="177">
        <v>0</v>
      </c>
      <c r="BH67" s="177">
        <v>0</v>
      </c>
      <c r="BI67" s="177">
        <v>0</v>
      </c>
      <c r="BJ67" s="177">
        <v>262</v>
      </c>
      <c r="BK67" s="177">
        <v>0</v>
      </c>
      <c r="BL67" s="177">
        <v>0</v>
      </c>
      <c r="BM67" s="177">
        <v>0</v>
      </c>
      <c r="BN67" s="177">
        <v>0</v>
      </c>
      <c r="BO67" s="177">
        <v>0</v>
      </c>
      <c r="BP67" s="177">
        <v>580</v>
      </c>
      <c r="BQ67" s="177">
        <v>65</v>
      </c>
      <c r="BR67" s="179">
        <v>1412</v>
      </c>
      <c r="BS67" s="177">
        <v>0</v>
      </c>
      <c r="BT67" s="177">
        <f>3099+15850</f>
        <v>18949</v>
      </c>
      <c r="BU67" s="177">
        <v>2177</v>
      </c>
      <c r="BV67" s="177">
        <v>2358</v>
      </c>
      <c r="BW67" s="177">
        <v>1949</v>
      </c>
      <c r="BX67" s="177">
        <v>12925</v>
      </c>
      <c r="BY67" s="177">
        <v>8941</v>
      </c>
      <c r="BZ67" s="177">
        <v>122</v>
      </c>
      <c r="CA67" s="177">
        <v>8369</v>
      </c>
      <c r="CB67" s="179">
        <v>12057</v>
      </c>
      <c r="CC67" s="177">
        <v>1009</v>
      </c>
      <c r="CD67" s="177">
        <v>244</v>
      </c>
      <c r="CE67" s="177">
        <v>12604</v>
      </c>
      <c r="CF67" s="177">
        <v>0</v>
      </c>
      <c r="CG67" s="177">
        <v>1429</v>
      </c>
      <c r="CH67" s="177">
        <v>25</v>
      </c>
      <c r="CI67" s="177">
        <v>783</v>
      </c>
      <c r="CJ67" s="177">
        <f>26+1820</f>
        <v>1846</v>
      </c>
      <c r="CK67" s="178">
        <v>2157</v>
      </c>
      <c r="CL67" s="180">
        <f>SUM(AT67:CK67)</f>
        <v>95794</v>
      </c>
    </row>
    <row r="68" spans="1:90">
      <c r="A68" s="93">
        <f>ROWS($A$3:A66)</f>
        <v>64</v>
      </c>
      <c r="B68" s="67" t="s">
        <v>87</v>
      </c>
      <c r="C68" s="243"/>
      <c r="D68" s="314"/>
      <c r="E68" s="333"/>
      <c r="F68" s="156"/>
      <c r="G68" s="177"/>
      <c r="H68" s="177"/>
      <c r="I68" s="178"/>
      <c r="J68" s="181"/>
      <c r="K68" s="156"/>
      <c r="L68" s="177"/>
      <c r="M68" s="177"/>
      <c r="N68" s="177"/>
      <c r="O68" s="177"/>
      <c r="P68" s="177"/>
      <c r="Q68" s="177"/>
      <c r="R68" s="177"/>
      <c r="S68" s="177"/>
      <c r="T68" s="177"/>
      <c r="U68" s="179"/>
      <c r="V68" s="177"/>
      <c r="W68" s="177"/>
      <c r="X68" s="177"/>
      <c r="Y68" s="177"/>
      <c r="Z68" s="177"/>
      <c r="AA68" s="177"/>
      <c r="AB68" s="179"/>
      <c r="AC68" s="177"/>
      <c r="AD68" s="177"/>
      <c r="AE68" s="177"/>
      <c r="AF68" s="177"/>
      <c r="AG68" s="177"/>
      <c r="AH68" s="177"/>
      <c r="AI68" s="177"/>
      <c r="AJ68" s="177"/>
      <c r="AK68" s="179"/>
      <c r="AL68" s="177"/>
      <c r="AM68" s="177"/>
      <c r="AN68" s="177"/>
      <c r="AO68" s="177"/>
      <c r="AP68" s="177"/>
      <c r="AQ68" s="177"/>
      <c r="AR68" s="177"/>
      <c r="AS68" s="178"/>
      <c r="AT68" s="177"/>
      <c r="AU68" s="177"/>
      <c r="AV68" s="177"/>
      <c r="AW68" s="177"/>
      <c r="AX68" s="177"/>
      <c r="AY68" s="177"/>
      <c r="AZ68" s="177"/>
      <c r="BA68" s="177"/>
      <c r="BB68" s="177"/>
      <c r="BC68" s="177"/>
      <c r="BD68" s="177"/>
      <c r="BE68" s="177"/>
      <c r="BF68" s="179"/>
      <c r="BG68" s="177"/>
      <c r="BH68" s="177"/>
      <c r="BI68" s="177"/>
      <c r="BJ68" s="177"/>
      <c r="BK68" s="177"/>
      <c r="BL68" s="177"/>
      <c r="BM68" s="177"/>
      <c r="BN68" s="177"/>
      <c r="BO68" s="177"/>
      <c r="BP68" s="177"/>
      <c r="BQ68" s="177"/>
      <c r="BR68" s="179"/>
      <c r="BS68" s="177"/>
      <c r="BT68" s="177"/>
      <c r="BU68" s="177"/>
      <c r="BV68" s="177"/>
      <c r="BW68" s="177"/>
      <c r="BX68" s="177"/>
      <c r="BY68" s="177"/>
      <c r="BZ68" s="177"/>
      <c r="CA68" s="177"/>
      <c r="CB68" s="179"/>
      <c r="CC68" s="177"/>
      <c r="CD68" s="177"/>
      <c r="CE68" s="177"/>
      <c r="CF68" s="177"/>
      <c r="CG68" s="177"/>
      <c r="CH68" s="177"/>
      <c r="CI68" s="177"/>
      <c r="CJ68" s="177"/>
      <c r="CK68" s="178"/>
      <c r="CL68" s="180"/>
    </row>
    <row r="69" spans="1:90">
      <c r="A69" s="93">
        <f>ROWS($A$3:A67)</f>
        <v>65</v>
      </c>
      <c r="B69" s="106" t="s">
        <v>88</v>
      </c>
      <c r="C69" s="242">
        <v>2007</v>
      </c>
      <c r="D69" s="314" t="s">
        <v>14</v>
      </c>
      <c r="E69" s="333"/>
      <c r="F69" s="156">
        <v>756</v>
      </c>
      <c r="G69" s="177">
        <v>221</v>
      </c>
      <c r="H69" s="177">
        <v>1049</v>
      </c>
      <c r="I69" s="178">
        <v>870</v>
      </c>
      <c r="J69" s="181"/>
      <c r="K69" s="156">
        <f>BF69</f>
        <v>91</v>
      </c>
      <c r="L69" s="177">
        <f>AY69</f>
        <v>119</v>
      </c>
      <c r="M69" s="177">
        <f>BD69</f>
        <v>104</v>
      </c>
      <c r="N69" s="177">
        <f>AW69</f>
        <v>40</v>
      </c>
      <c r="O69" s="177">
        <f>BE69</f>
        <v>40</v>
      </c>
      <c r="P69" s="177">
        <f>'2008'!AZ69+'2008'!BA69</f>
        <v>60</v>
      </c>
      <c r="Q69" s="177">
        <f>'2008'!AU69</f>
        <v>26</v>
      </c>
      <c r="R69" s="177">
        <f>AT69+AX69</f>
        <v>52</v>
      </c>
      <c r="S69" s="177">
        <f>AV69</f>
        <v>40</v>
      </c>
      <c r="T69" s="177">
        <f t="shared" ref="T69:U71" si="142">BB69</f>
        <v>64</v>
      </c>
      <c r="U69" s="179">
        <f t="shared" si="142"/>
        <v>120</v>
      </c>
      <c r="V69" s="177">
        <f>BG69+BJ69</f>
        <v>18</v>
      </c>
      <c r="W69" s="177">
        <f>BR69</f>
        <v>35</v>
      </c>
      <c r="X69" s="177">
        <f>BH69+BI69</f>
        <v>38</v>
      </c>
      <c r="Y69" s="177">
        <f>BK69+BL69+BN69</f>
        <v>35</v>
      </c>
      <c r="Z69" s="177">
        <f>BM69</f>
        <v>35</v>
      </c>
      <c r="AA69" s="177">
        <f>BO69+BQ69</f>
        <v>35</v>
      </c>
      <c r="AB69" s="179">
        <f>BP69</f>
        <v>25</v>
      </c>
      <c r="AC69" s="177">
        <f>BX69</f>
        <v>98</v>
      </c>
      <c r="AD69" s="177">
        <f>BU69</f>
        <v>77</v>
      </c>
      <c r="AE69" s="177">
        <f>BS69+BT69</f>
        <v>261</v>
      </c>
      <c r="AF69" s="177">
        <f>CA69</f>
        <v>101</v>
      </c>
      <c r="AG69" s="177">
        <f>BV69</f>
        <v>137</v>
      </c>
      <c r="AH69" s="177">
        <f>BZ69</f>
        <v>98</v>
      </c>
      <c r="AI69" s="177">
        <f>BW69</f>
        <v>46</v>
      </c>
      <c r="AJ69" s="177">
        <f>BY69</f>
        <v>40</v>
      </c>
      <c r="AK69" s="179">
        <f>CB69</f>
        <v>191</v>
      </c>
      <c r="AL69" s="177">
        <f>CE69</f>
        <v>55</v>
      </c>
      <c r="AM69" s="177">
        <f>CH69</f>
        <v>60</v>
      </c>
      <c r="AN69" s="177">
        <f>CJ69</f>
        <v>325</v>
      </c>
      <c r="AO69" s="177">
        <f t="shared" ref="AO69:AP71" si="143">CC69</f>
        <v>66</v>
      </c>
      <c r="AP69" s="177">
        <f t="shared" si="143"/>
        <v>40</v>
      </c>
      <c r="AQ69" s="177">
        <f>CK69</f>
        <v>77</v>
      </c>
      <c r="AR69" s="177">
        <f>CI69</f>
        <v>178</v>
      </c>
      <c r="AS69" s="178">
        <f>CF69+CG69</f>
        <v>69</v>
      </c>
      <c r="AT69" s="177">
        <v>7</v>
      </c>
      <c r="AU69" s="177">
        <v>26</v>
      </c>
      <c r="AV69" s="177">
        <v>40</v>
      </c>
      <c r="AW69" s="181">
        <v>40</v>
      </c>
      <c r="AX69" s="177">
        <v>45</v>
      </c>
      <c r="AY69" s="177">
        <v>119</v>
      </c>
      <c r="AZ69" s="177">
        <v>7</v>
      </c>
      <c r="BA69" s="177">
        <v>53</v>
      </c>
      <c r="BB69" s="177">
        <v>64</v>
      </c>
      <c r="BC69" s="177">
        <v>120</v>
      </c>
      <c r="BD69" s="177">
        <v>104</v>
      </c>
      <c r="BE69" s="177">
        <v>40</v>
      </c>
      <c r="BF69" s="179">
        <v>91</v>
      </c>
      <c r="BG69" s="177">
        <v>4</v>
      </c>
      <c r="BH69" s="177">
        <v>6</v>
      </c>
      <c r="BI69" s="177">
        <v>32</v>
      </c>
      <c r="BJ69" s="177">
        <v>14</v>
      </c>
      <c r="BK69" s="177">
        <v>3</v>
      </c>
      <c r="BL69" s="177">
        <v>0</v>
      </c>
      <c r="BM69" s="177">
        <v>35</v>
      </c>
      <c r="BN69" s="177">
        <v>32</v>
      </c>
      <c r="BO69" s="177">
        <v>2</v>
      </c>
      <c r="BP69" s="177">
        <v>25</v>
      </c>
      <c r="BQ69" s="177">
        <v>33</v>
      </c>
      <c r="BR69" s="179">
        <v>35</v>
      </c>
      <c r="BS69" s="177">
        <v>15</v>
      </c>
      <c r="BT69" s="177">
        <v>246</v>
      </c>
      <c r="BU69" s="177">
        <v>77</v>
      </c>
      <c r="BV69" s="177">
        <v>137</v>
      </c>
      <c r="BW69" s="177">
        <v>46</v>
      </c>
      <c r="BX69" s="177">
        <v>98</v>
      </c>
      <c r="BY69" s="177">
        <v>40</v>
      </c>
      <c r="BZ69" s="177">
        <v>98</v>
      </c>
      <c r="CA69" s="177">
        <v>101</v>
      </c>
      <c r="CB69" s="179">
        <v>191</v>
      </c>
      <c r="CC69" s="177">
        <v>66</v>
      </c>
      <c r="CD69" s="177">
        <v>40</v>
      </c>
      <c r="CE69" s="177">
        <v>55</v>
      </c>
      <c r="CF69" s="177">
        <v>1</v>
      </c>
      <c r="CG69" s="177">
        <v>68</v>
      </c>
      <c r="CH69" s="177">
        <v>60</v>
      </c>
      <c r="CI69" s="177">
        <v>178</v>
      </c>
      <c r="CJ69" s="177">
        <v>325</v>
      </c>
      <c r="CK69" s="178">
        <v>77</v>
      </c>
      <c r="CL69" s="180">
        <v>2896</v>
      </c>
    </row>
    <row r="70" spans="1:90">
      <c r="A70" s="93">
        <f>ROWS($A$3:A68)</f>
        <v>66</v>
      </c>
      <c r="B70" s="106" t="s">
        <v>74</v>
      </c>
      <c r="C70" s="243"/>
      <c r="D70" s="314" t="s">
        <v>1</v>
      </c>
      <c r="E70" s="333"/>
      <c r="F70" s="156">
        <v>24805</v>
      </c>
      <c r="G70" s="177">
        <v>8359</v>
      </c>
      <c r="H70" s="177">
        <v>31034</v>
      </c>
      <c r="I70" s="178">
        <v>30108</v>
      </c>
      <c r="J70" s="181"/>
      <c r="K70" s="156">
        <f>BF70</f>
        <v>2642</v>
      </c>
      <c r="L70" s="177">
        <f>AY70</f>
        <v>3591</v>
      </c>
      <c r="M70" s="177">
        <f>BD70</f>
        <v>3673</v>
      </c>
      <c r="N70" s="177">
        <f>AW70</f>
        <v>1503</v>
      </c>
      <c r="O70" s="177">
        <f>BE70</f>
        <v>2148</v>
      </c>
      <c r="P70" s="177">
        <f>'2008'!AZ70+'2008'!BA70</f>
        <v>1599</v>
      </c>
      <c r="Q70" s="177">
        <f>'2008'!AU70</f>
        <v>1022</v>
      </c>
      <c r="R70" s="177">
        <f>AT70+AX70</f>
        <v>1365</v>
      </c>
      <c r="S70" s="177">
        <f>AV70</f>
        <v>1181</v>
      </c>
      <c r="T70" s="177">
        <f t="shared" si="142"/>
        <v>2074</v>
      </c>
      <c r="U70" s="179">
        <f t="shared" si="142"/>
        <v>4007</v>
      </c>
      <c r="V70" s="177">
        <f>BG70+BJ70</f>
        <v>559</v>
      </c>
      <c r="W70" s="177">
        <f>BR70</f>
        <v>1270</v>
      </c>
      <c r="X70" s="177">
        <f>BH70+BI70</f>
        <v>1145</v>
      </c>
      <c r="Y70" s="177">
        <f>BL70+BN70</f>
        <v>1278</v>
      </c>
      <c r="Z70" s="177">
        <f>BM70</f>
        <v>1872</v>
      </c>
      <c r="AA70" s="177">
        <f>BQ70</f>
        <v>1486</v>
      </c>
      <c r="AB70" s="179">
        <f>BP70</f>
        <v>749</v>
      </c>
      <c r="AC70" s="177">
        <f>BX70</f>
        <v>3007</v>
      </c>
      <c r="AD70" s="177">
        <f>BU70</f>
        <v>1334</v>
      </c>
      <c r="AE70" s="177">
        <f>BS70+BT70</f>
        <v>5979</v>
      </c>
      <c r="AF70" s="177">
        <f>CA70</f>
        <v>2677</v>
      </c>
      <c r="AG70" s="177">
        <f>BV70</f>
        <v>2883</v>
      </c>
      <c r="AH70" s="177">
        <f>BZ70</f>
        <v>4133</v>
      </c>
      <c r="AI70" s="177">
        <f>BW70</f>
        <v>1627</v>
      </c>
      <c r="AJ70" s="177">
        <f>BY70</f>
        <v>2784</v>
      </c>
      <c r="AK70" s="179">
        <f>CB70</f>
        <v>6610</v>
      </c>
      <c r="AL70" s="177">
        <f>CE70</f>
        <v>3211</v>
      </c>
      <c r="AM70" s="177">
        <f>CH70</f>
        <v>2501</v>
      </c>
      <c r="AN70" s="177">
        <f>CJ70</f>
        <v>9892</v>
      </c>
      <c r="AO70" s="177">
        <f t="shared" si="143"/>
        <v>2429</v>
      </c>
      <c r="AP70" s="177">
        <f t="shared" si="143"/>
        <v>2971</v>
      </c>
      <c r="AQ70" s="177">
        <f>CK70</f>
        <v>3153</v>
      </c>
      <c r="AR70" s="177">
        <f>CI70</f>
        <v>3609</v>
      </c>
      <c r="AS70" s="178">
        <f>CG70</f>
        <v>2342</v>
      </c>
      <c r="AT70" s="177">
        <v>266</v>
      </c>
      <c r="AU70" s="181">
        <v>1022</v>
      </c>
      <c r="AV70" s="181">
        <v>1181</v>
      </c>
      <c r="AW70" s="181">
        <v>1503</v>
      </c>
      <c r="AX70" s="181">
        <v>1099</v>
      </c>
      <c r="AY70" s="177">
        <v>3591</v>
      </c>
      <c r="AZ70" s="177">
        <v>87</v>
      </c>
      <c r="BA70" s="177">
        <v>1512</v>
      </c>
      <c r="BB70" s="177">
        <v>2074</v>
      </c>
      <c r="BC70" s="177">
        <v>4007</v>
      </c>
      <c r="BD70" s="177">
        <v>3673</v>
      </c>
      <c r="BE70" s="177">
        <v>2148</v>
      </c>
      <c r="BF70" s="179">
        <v>2642</v>
      </c>
      <c r="BG70" s="177">
        <v>217</v>
      </c>
      <c r="BH70" s="177">
        <v>147</v>
      </c>
      <c r="BI70" s="177">
        <v>998</v>
      </c>
      <c r="BJ70" s="177">
        <v>342</v>
      </c>
      <c r="BK70" s="177" t="s">
        <v>252</v>
      </c>
      <c r="BL70" s="177">
        <v>0</v>
      </c>
      <c r="BM70" s="177">
        <v>1872</v>
      </c>
      <c r="BN70" s="177">
        <v>1278</v>
      </c>
      <c r="BO70" s="177" t="s">
        <v>252</v>
      </c>
      <c r="BP70" s="177">
        <v>749</v>
      </c>
      <c r="BQ70" s="177">
        <v>1486</v>
      </c>
      <c r="BR70" s="179">
        <v>1270</v>
      </c>
      <c r="BS70" s="177">
        <v>215</v>
      </c>
      <c r="BT70" s="177">
        <v>5764</v>
      </c>
      <c r="BU70" s="177">
        <v>1334</v>
      </c>
      <c r="BV70" s="177">
        <v>2883</v>
      </c>
      <c r="BW70" s="177">
        <v>1627</v>
      </c>
      <c r="BX70" s="177">
        <v>3007</v>
      </c>
      <c r="BY70" s="177">
        <v>2784</v>
      </c>
      <c r="BZ70" s="177">
        <v>4133</v>
      </c>
      <c r="CA70" s="177">
        <v>2677</v>
      </c>
      <c r="CB70" s="179">
        <v>6610</v>
      </c>
      <c r="CC70" s="177">
        <v>2429</v>
      </c>
      <c r="CD70" s="177">
        <v>2971</v>
      </c>
      <c r="CE70" s="177">
        <v>3211</v>
      </c>
      <c r="CF70" s="177" t="s">
        <v>252</v>
      </c>
      <c r="CG70" s="177">
        <v>2342</v>
      </c>
      <c r="CH70" s="177">
        <v>2501</v>
      </c>
      <c r="CI70" s="177">
        <v>3609</v>
      </c>
      <c r="CJ70" s="177">
        <v>9892</v>
      </c>
      <c r="CK70" s="178">
        <v>3153</v>
      </c>
      <c r="CL70" s="180">
        <v>94593</v>
      </c>
    </row>
    <row r="71" spans="1:90">
      <c r="A71" s="93">
        <f>ROWS($A$3:A69)</f>
        <v>67</v>
      </c>
      <c r="B71" s="62" t="s">
        <v>71</v>
      </c>
      <c r="C71" s="312"/>
      <c r="D71" s="314" t="s">
        <v>1</v>
      </c>
      <c r="E71" s="333"/>
      <c r="F71" s="207">
        <f>IF(OR(F69&lt;0.1,F70&lt;0.1),0,F70/F69)</f>
        <v>32.810846560846564</v>
      </c>
      <c r="G71" s="208">
        <f>IF(OR(G69&lt;0.1,G70&lt;0.1),0,G70/G69)</f>
        <v>37.823529411764703</v>
      </c>
      <c r="H71" s="208">
        <f>IF(OR(H69&lt;0.1,H70&lt;0.1),0,H70/H69)</f>
        <v>29.584366062917063</v>
      </c>
      <c r="I71" s="209">
        <f>IF(OR(I69&lt;0.1,I70&lt;0.1),0,I70/I69)</f>
        <v>34.606896551724141</v>
      </c>
      <c r="J71" s="213"/>
      <c r="K71" s="218">
        <f>BF71</f>
        <v>29.032967032967033</v>
      </c>
      <c r="L71" s="219">
        <f>AY71</f>
        <v>30.176470588235293</v>
      </c>
      <c r="M71" s="219">
        <f>BD71</f>
        <v>35.317307692307693</v>
      </c>
      <c r="N71" s="219">
        <f>AW71</f>
        <v>37.575000000000003</v>
      </c>
      <c r="O71" s="219">
        <f>BE71</f>
        <v>53.7</v>
      </c>
      <c r="P71" s="208">
        <f>IF(OR(P69&lt;0.1,P70&lt;0.1),0,P70/P69)</f>
        <v>26.65</v>
      </c>
      <c r="Q71" s="219">
        <f>'2008'!AU71</f>
        <v>39.307692307692307</v>
      </c>
      <c r="R71" s="208">
        <f>IF(OR(R69&lt;0.1,R70&lt;0.1),0,R70/R69)</f>
        <v>26.25</v>
      </c>
      <c r="S71" s="219">
        <f>AV71</f>
        <v>29.524999999999999</v>
      </c>
      <c r="T71" s="219">
        <f t="shared" si="142"/>
        <v>32.40625</v>
      </c>
      <c r="U71" s="220">
        <f t="shared" si="142"/>
        <v>33.391666666666666</v>
      </c>
      <c r="V71" s="208">
        <f>IF(OR(V69&lt;0.1,V70&lt;0.1),0,V70/V69)</f>
        <v>31.055555555555557</v>
      </c>
      <c r="W71" s="219">
        <f>BR71</f>
        <v>36.285714285714285</v>
      </c>
      <c r="X71" s="208">
        <f>IF(OR(X69&lt;0.1,X70&lt;0.1),0,X70/X69)</f>
        <v>30.131578947368421</v>
      </c>
      <c r="Y71" s="208">
        <f>IF(OR(Y69&lt;0.1,Y70&lt;0.1),0,Y70/Y69)</f>
        <v>36.514285714285712</v>
      </c>
      <c r="Z71" s="219">
        <f>BM71</f>
        <v>53.485714285714288</v>
      </c>
      <c r="AA71" s="208">
        <f>IF(OR(AA69&lt;0.1,AA70&lt;0.1),0,AA70/AA69)</f>
        <v>42.457142857142856</v>
      </c>
      <c r="AB71" s="220">
        <f>BP71</f>
        <v>29.96</v>
      </c>
      <c r="AC71" s="219">
        <f>BX71</f>
        <v>30.683673469387756</v>
      </c>
      <c r="AD71" s="219">
        <f>BU71</f>
        <v>17.324675324675326</v>
      </c>
      <c r="AE71" s="208">
        <f>IF(OR(AE69&lt;0.1,AE70&lt;0.1),0,AE70/AE69)</f>
        <v>22.908045977011493</v>
      </c>
      <c r="AF71" s="219">
        <f>CA71</f>
        <v>26.504950495049506</v>
      </c>
      <c r="AG71" s="219">
        <f>BV71</f>
        <v>21.043795620437955</v>
      </c>
      <c r="AH71" s="219">
        <f>BZ71</f>
        <v>42.173469387755105</v>
      </c>
      <c r="AI71" s="219">
        <f>BW71</f>
        <v>35.369565217391305</v>
      </c>
      <c r="AJ71" s="219">
        <f>BY71</f>
        <v>69.599999999999994</v>
      </c>
      <c r="AK71" s="220">
        <f>CB71</f>
        <v>34.607329842931939</v>
      </c>
      <c r="AL71" s="219">
        <f>CE71</f>
        <v>58.381818181818183</v>
      </c>
      <c r="AM71" s="219">
        <f>CH71</f>
        <v>41.68333333333333</v>
      </c>
      <c r="AN71" s="219">
        <f>CJ71</f>
        <v>30.436923076923076</v>
      </c>
      <c r="AO71" s="219">
        <f t="shared" si="143"/>
        <v>36.803030303030305</v>
      </c>
      <c r="AP71" s="219">
        <f t="shared" si="143"/>
        <v>74.275000000000006</v>
      </c>
      <c r="AQ71" s="219">
        <f>CK71</f>
        <v>40.948051948051948</v>
      </c>
      <c r="AR71" s="219">
        <f>CI71</f>
        <v>20.275280898876403</v>
      </c>
      <c r="AS71" s="209">
        <f t="shared" ref="AS71:BJ71" si="144">IF(OR(AS69&lt;0.1,AS70&lt;0.1),0,AS70/AS69)</f>
        <v>33.94202898550725</v>
      </c>
      <c r="AT71" s="208">
        <f t="shared" si="144"/>
        <v>38</v>
      </c>
      <c r="AU71" s="208">
        <f t="shared" si="144"/>
        <v>39.307692307692307</v>
      </c>
      <c r="AV71" s="208">
        <f t="shared" si="144"/>
        <v>29.524999999999999</v>
      </c>
      <c r="AW71" s="208">
        <f t="shared" si="144"/>
        <v>37.575000000000003</v>
      </c>
      <c r="AX71" s="208">
        <f t="shared" si="144"/>
        <v>24.422222222222221</v>
      </c>
      <c r="AY71" s="208">
        <f t="shared" si="144"/>
        <v>30.176470588235293</v>
      </c>
      <c r="AZ71" s="208">
        <f t="shared" si="144"/>
        <v>12.428571428571429</v>
      </c>
      <c r="BA71" s="208">
        <f t="shared" si="144"/>
        <v>28.528301886792452</v>
      </c>
      <c r="BB71" s="208">
        <f t="shared" si="144"/>
        <v>32.40625</v>
      </c>
      <c r="BC71" s="208">
        <f t="shared" si="144"/>
        <v>33.391666666666666</v>
      </c>
      <c r="BD71" s="208">
        <f t="shared" si="144"/>
        <v>35.317307692307693</v>
      </c>
      <c r="BE71" s="208">
        <f t="shared" si="144"/>
        <v>53.7</v>
      </c>
      <c r="BF71" s="216">
        <f t="shared" si="144"/>
        <v>29.032967032967033</v>
      </c>
      <c r="BG71" s="208">
        <f t="shared" si="144"/>
        <v>54.25</v>
      </c>
      <c r="BH71" s="208">
        <f t="shared" si="144"/>
        <v>24.5</v>
      </c>
      <c r="BI71" s="208">
        <f t="shared" si="144"/>
        <v>31.1875</v>
      </c>
      <c r="BJ71" s="208">
        <f t="shared" si="144"/>
        <v>24.428571428571427</v>
      </c>
      <c r="BK71" s="208">
        <v>0</v>
      </c>
      <c r="BL71" s="208">
        <f>IF(OR(BL69&lt;0.1,BL70&lt;0.1),0,BL70/BL69)</f>
        <v>0</v>
      </c>
      <c r="BM71" s="208">
        <f>IF(OR(BM69&lt;0.1,BM70&lt;0.1),0,BM70/BM69)</f>
        <v>53.485714285714288</v>
      </c>
      <c r="BN71" s="208">
        <f>IF(OR(BN69&lt;0.1,BN70&lt;0.1),0,BN70/BN69)</f>
        <v>39.9375</v>
      </c>
      <c r="BO71" s="208">
        <v>0</v>
      </c>
      <c r="BP71" s="208">
        <f t="shared" ref="BP71:CE71" si="145">IF(OR(BP69&lt;0.1,BP70&lt;0.1),0,BP70/BP69)</f>
        <v>29.96</v>
      </c>
      <c r="BQ71" s="208">
        <f t="shared" si="145"/>
        <v>45.030303030303031</v>
      </c>
      <c r="BR71" s="216">
        <f t="shared" si="145"/>
        <v>36.285714285714285</v>
      </c>
      <c r="BS71" s="208">
        <f t="shared" si="145"/>
        <v>14.333333333333334</v>
      </c>
      <c r="BT71" s="208">
        <f t="shared" si="145"/>
        <v>23.430894308943088</v>
      </c>
      <c r="BU71" s="208">
        <f t="shared" si="145"/>
        <v>17.324675324675326</v>
      </c>
      <c r="BV71" s="208">
        <f t="shared" si="145"/>
        <v>21.043795620437955</v>
      </c>
      <c r="BW71" s="208">
        <f t="shared" si="145"/>
        <v>35.369565217391305</v>
      </c>
      <c r="BX71" s="208">
        <f t="shared" si="145"/>
        <v>30.683673469387756</v>
      </c>
      <c r="BY71" s="208">
        <f t="shared" si="145"/>
        <v>69.599999999999994</v>
      </c>
      <c r="BZ71" s="208">
        <f t="shared" si="145"/>
        <v>42.173469387755105</v>
      </c>
      <c r="CA71" s="208">
        <f t="shared" si="145"/>
        <v>26.504950495049506</v>
      </c>
      <c r="CB71" s="216">
        <f t="shared" si="145"/>
        <v>34.607329842931939</v>
      </c>
      <c r="CC71" s="208">
        <f t="shared" si="145"/>
        <v>36.803030303030305</v>
      </c>
      <c r="CD71" s="208">
        <f t="shared" si="145"/>
        <v>74.275000000000006</v>
      </c>
      <c r="CE71" s="208">
        <f t="shared" si="145"/>
        <v>58.381818181818183</v>
      </c>
      <c r="CF71" s="208">
        <v>0</v>
      </c>
      <c r="CG71" s="208">
        <f t="shared" ref="CG71:CL71" si="146">IF(OR(CG69&lt;0.1,CG70&lt;0.1),0,CG70/CG69)</f>
        <v>34.441176470588232</v>
      </c>
      <c r="CH71" s="208">
        <f t="shared" si="146"/>
        <v>41.68333333333333</v>
      </c>
      <c r="CI71" s="208">
        <f t="shared" si="146"/>
        <v>20.275280898876403</v>
      </c>
      <c r="CJ71" s="208">
        <f t="shared" si="146"/>
        <v>30.436923076923076</v>
      </c>
      <c r="CK71" s="209">
        <f t="shared" si="146"/>
        <v>40.948051948051948</v>
      </c>
      <c r="CL71" s="217">
        <f t="shared" si="146"/>
        <v>32.663328729281766</v>
      </c>
    </row>
    <row r="72" spans="1:90">
      <c r="A72" s="93">
        <f>ROWS($A$3:A70)</f>
        <v>68</v>
      </c>
      <c r="B72" s="67" t="s">
        <v>89</v>
      </c>
      <c r="C72" s="243"/>
      <c r="D72" s="314"/>
      <c r="E72" s="333"/>
      <c r="F72" s="156"/>
      <c r="G72" s="177"/>
      <c r="H72" s="177"/>
      <c r="I72" s="178"/>
      <c r="J72" s="181"/>
      <c r="K72" s="156"/>
      <c r="L72" s="177"/>
      <c r="M72" s="177"/>
      <c r="N72" s="177"/>
      <c r="O72" s="177"/>
      <c r="P72" s="177"/>
      <c r="Q72" s="177"/>
      <c r="R72" s="177"/>
      <c r="S72" s="177"/>
      <c r="T72" s="177"/>
      <c r="U72" s="179"/>
      <c r="V72" s="177"/>
      <c r="W72" s="177"/>
      <c r="X72" s="177"/>
      <c r="Y72" s="177"/>
      <c r="Z72" s="177"/>
      <c r="AA72" s="177"/>
      <c r="AB72" s="179"/>
      <c r="AC72" s="177"/>
      <c r="AD72" s="177"/>
      <c r="AE72" s="177"/>
      <c r="AF72" s="177"/>
      <c r="AG72" s="177"/>
      <c r="AH72" s="177"/>
      <c r="AI72" s="177"/>
      <c r="AJ72" s="177"/>
      <c r="AK72" s="179"/>
      <c r="AL72" s="177"/>
      <c r="AM72" s="177"/>
      <c r="AN72" s="177"/>
      <c r="AO72" s="177"/>
      <c r="AP72" s="177"/>
      <c r="AQ72" s="177"/>
      <c r="AR72" s="177"/>
      <c r="AS72" s="178"/>
      <c r="AT72" s="177"/>
      <c r="AU72" s="177"/>
      <c r="AV72" s="177"/>
      <c r="AW72" s="177"/>
      <c r="AX72" s="177"/>
      <c r="AY72" s="177"/>
      <c r="AZ72" s="177"/>
      <c r="BA72" s="177"/>
      <c r="BB72" s="177"/>
      <c r="BC72" s="177"/>
      <c r="BD72" s="177"/>
      <c r="BE72" s="177"/>
      <c r="BF72" s="179"/>
      <c r="BG72" s="177"/>
      <c r="BH72" s="177"/>
      <c r="BI72" s="177"/>
      <c r="BJ72" s="177"/>
      <c r="BK72" s="177"/>
      <c r="BL72" s="177"/>
      <c r="BM72" s="177"/>
      <c r="BN72" s="177"/>
      <c r="BO72" s="177"/>
      <c r="BP72" s="177"/>
      <c r="BQ72" s="177"/>
      <c r="BR72" s="179"/>
      <c r="BS72" s="177"/>
      <c r="BT72" s="177"/>
      <c r="BU72" s="177"/>
      <c r="BV72" s="177"/>
      <c r="BW72" s="177"/>
      <c r="BX72" s="177"/>
      <c r="BY72" s="177"/>
      <c r="BZ72" s="177"/>
      <c r="CA72" s="177"/>
      <c r="CB72" s="179"/>
      <c r="CC72" s="177"/>
      <c r="CD72" s="177"/>
      <c r="CE72" s="177"/>
      <c r="CF72" s="177"/>
      <c r="CG72" s="177"/>
      <c r="CH72" s="177"/>
      <c r="CI72" s="177"/>
      <c r="CJ72" s="177"/>
      <c r="CK72" s="178"/>
      <c r="CL72" s="180"/>
    </row>
    <row r="73" spans="1:90">
      <c r="A73" s="93">
        <f>ROWS($A$3:A71)</f>
        <v>69</v>
      </c>
      <c r="B73" s="106" t="s">
        <v>90</v>
      </c>
      <c r="C73" s="242">
        <v>2007</v>
      </c>
      <c r="D73" s="314" t="s">
        <v>14</v>
      </c>
      <c r="E73" s="333"/>
      <c r="F73" s="156">
        <v>3236</v>
      </c>
      <c r="G73" s="177">
        <v>1923</v>
      </c>
      <c r="H73" s="177">
        <v>1605</v>
      </c>
      <c r="I73" s="178">
        <v>2415</v>
      </c>
      <c r="J73" s="181"/>
      <c r="K73" s="156">
        <f t="shared" ref="K73:K78" si="147">BF73</f>
        <v>258</v>
      </c>
      <c r="L73" s="177">
        <f t="shared" ref="L73:L78" si="148">AY73</f>
        <v>124</v>
      </c>
      <c r="M73" s="177">
        <f t="shared" ref="M73:M78" si="149">BD73</f>
        <v>783</v>
      </c>
      <c r="N73" s="177">
        <f t="shared" ref="N73:N78" si="150">AW73</f>
        <v>78</v>
      </c>
      <c r="O73" s="177">
        <f t="shared" ref="O73:O78" si="151">BE73</f>
        <v>164</v>
      </c>
      <c r="P73" s="177">
        <f>'2008'!AZ73+'2008'!BA73</f>
        <v>528</v>
      </c>
      <c r="Q73" s="177">
        <f>'2008'!AU73</f>
        <v>343</v>
      </c>
      <c r="R73" s="177">
        <f t="shared" ref="R73:R78" si="152">AT73+AX73</f>
        <v>373</v>
      </c>
      <c r="S73" s="177">
        <f t="shared" ref="S73:S78" si="153">AV73</f>
        <v>189</v>
      </c>
      <c r="T73" s="177">
        <f t="shared" ref="T73:U78" si="154">BB73</f>
        <v>211</v>
      </c>
      <c r="U73" s="179">
        <f t="shared" si="154"/>
        <v>185</v>
      </c>
      <c r="V73" s="177">
        <f t="shared" ref="V73:V78" si="155">BG73+BJ73</f>
        <v>146</v>
      </c>
      <c r="W73" s="177">
        <f t="shared" ref="W73:W78" si="156">BR73</f>
        <v>159</v>
      </c>
      <c r="X73" s="177">
        <f t="shared" ref="X73:X78" si="157">BH73+BI73</f>
        <v>423</v>
      </c>
      <c r="Y73" s="177">
        <f t="shared" ref="Y73:Y78" si="158">BK73+BL73+BN73</f>
        <v>513</v>
      </c>
      <c r="Z73" s="177">
        <f t="shared" ref="Z73:Z78" si="159">BM73</f>
        <v>398</v>
      </c>
      <c r="AA73" s="177">
        <f t="shared" ref="AA73:AA78" si="160">BO73+BQ73</f>
        <v>148</v>
      </c>
      <c r="AB73" s="179">
        <f t="shared" ref="AB73:AB78" si="161">BP73</f>
        <v>136</v>
      </c>
      <c r="AC73" s="177">
        <f t="shared" ref="AC73:AC78" si="162">BX73</f>
        <v>124</v>
      </c>
      <c r="AD73" s="177">
        <f t="shared" ref="AD73:AD78" si="163">BU73</f>
        <v>143</v>
      </c>
      <c r="AE73" s="177">
        <f t="shared" ref="AE73:AE78" si="164">BS73+BT73</f>
        <v>261</v>
      </c>
      <c r="AF73" s="177">
        <f t="shared" ref="AF73:AF78" si="165">CA73</f>
        <v>54</v>
      </c>
      <c r="AG73" s="177">
        <f t="shared" ref="AG73:AG78" si="166">BV73</f>
        <v>438</v>
      </c>
      <c r="AH73" s="177">
        <f t="shared" ref="AH73:AH78" si="167">BZ73</f>
        <v>209</v>
      </c>
      <c r="AI73" s="177">
        <f t="shared" ref="AI73:AI78" si="168">BW73</f>
        <v>192</v>
      </c>
      <c r="AJ73" s="177">
        <f t="shared" ref="AJ73:AJ78" si="169">BY73</f>
        <v>58</v>
      </c>
      <c r="AK73" s="179">
        <f t="shared" ref="AK73:AK78" si="170">CB73</f>
        <v>126</v>
      </c>
      <c r="AL73" s="177">
        <f t="shared" ref="AL73:AL78" si="171">CE73</f>
        <v>213</v>
      </c>
      <c r="AM73" s="177">
        <f t="shared" ref="AM73:AM78" si="172">CH73</f>
        <v>407</v>
      </c>
      <c r="AN73" s="177">
        <f t="shared" ref="AN73:AN78" si="173">CJ73</f>
        <v>132</v>
      </c>
      <c r="AO73" s="177">
        <f t="shared" ref="AO73:AP78" si="174">CC73</f>
        <v>318</v>
      </c>
      <c r="AP73" s="177">
        <f t="shared" si="174"/>
        <v>233</v>
      </c>
      <c r="AQ73" s="177">
        <f t="shared" ref="AQ73:AQ78" si="175">CK73</f>
        <v>351</v>
      </c>
      <c r="AR73" s="177">
        <f t="shared" ref="AR73:AR78" si="176">CI73</f>
        <v>154</v>
      </c>
      <c r="AS73" s="178">
        <f t="shared" ref="AS73:AS78" si="177">CF73+CG73</f>
        <v>607</v>
      </c>
      <c r="AT73" s="177">
        <v>29</v>
      </c>
      <c r="AU73" s="177">
        <v>343</v>
      </c>
      <c r="AV73" s="177">
        <v>189</v>
      </c>
      <c r="AW73" s="181">
        <v>78</v>
      </c>
      <c r="AX73" s="177">
        <v>344</v>
      </c>
      <c r="AY73" s="177">
        <v>124</v>
      </c>
      <c r="AZ73" s="177">
        <v>63</v>
      </c>
      <c r="BA73" s="177">
        <v>465</v>
      </c>
      <c r="BB73" s="177">
        <v>211</v>
      </c>
      <c r="BC73" s="177">
        <v>185</v>
      </c>
      <c r="BD73" s="177">
        <v>783</v>
      </c>
      <c r="BE73" s="177">
        <v>164</v>
      </c>
      <c r="BF73" s="179">
        <v>258</v>
      </c>
      <c r="BG73" s="177">
        <v>5</v>
      </c>
      <c r="BH73" s="177">
        <v>30</v>
      </c>
      <c r="BI73" s="177">
        <v>393</v>
      </c>
      <c r="BJ73" s="177">
        <v>141</v>
      </c>
      <c r="BK73" s="177">
        <v>31</v>
      </c>
      <c r="BL73" s="177">
        <v>48</v>
      </c>
      <c r="BM73" s="177">
        <v>398</v>
      </c>
      <c r="BN73" s="177">
        <v>434</v>
      </c>
      <c r="BO73" s="177">
        <v>4</v>
      </c>
      <c r="BP73" s="177">
        <v>136</v>
      </c>
      <c r="BQ73" s="177">
        <v>144</v>
      </c>
      <c r="BR73" s="179">
        <v>159</v>
      </c>
      <c r="BS73" s="177">
        <v>16</v>
      </c>
      <c r="BT73" s="177">
        <v>245</v>
      </c>
      <c r="BU73" s="177">
        <v>143</v>
      </c>
      <c r="BV73" s="177">
        <v>438</v>
      </c>
      <c r="BW73" s="177">
        <v>192</v>
      </c>
      <c r="BX73" s="177">
        <v>124</v>
      </c>
      <c r="BY73" s="177">
        <v>58</v>
      </c>
      <c r="BZ73" s="177">
        <v>209</v>
      </c>
      <c r="CA73" s="177">
        <v>54</v>
      </c>
      <c r="CB73" s="179">
        <v>126</v>
      </c>
      <c r="CC73" s="177">
        <v>318</v>
      </c>
      <c r="CD73" s="177">
        <v>233</v>
      </c>
      <c r="CE73" s="177">
        <v>213</v>
      </c>
      <c r="CF73" s="177">
        <v>44</v>
      </c>
      <c r="CG73" s="177">
        <v>563</v>
      </c>
      <c r="CH73" s="177">
        <v>407</v>
      </c>
      <c r="CI73" s="177">
        <v>154</v>
      </c>
      <c r="CJ73" s="177">
        <v>132</v>
      </c>
      <c r="CK73" s="178">
        <v>351</v>
      </c>
      <c r="CL73" s="180">
        <v>9179</v>
      </c>
    </row>
    <row r="74" spans="1:90">
      <c r="A74" s="93">
        <f>ROWS($A$3:A72)</f>
        <v>70</v>
      </c>
      <c r="B74" s="106" t="s">
        <v>91</v>
      </c>
      <c r="C74" s="243"/>
      <c r="D74" s="314" t="s">
        <v>14</v>
      </c>
      <c r="E74" s="333"/>
      <c r="F74" s="156">
        <v>598</v>
      </c>
      <c r="G74" s="177">
        <v>342</v>
      </c>
      <c r="H74" s="177">
        <v>417</v>
      </c>
      <c r="I74" s="178">
        <v>243</v>
      </c>
      <c r="J74" s="181"/>
      <c r="K74" s="156">
        <f t="shared" si="147"/>
        <v>55</v>
      </c>
      <c r="L74" s="177">
        <f t="shared" si="148"/>
        <v>96</v>
      </c>
      <c r="M74" s="177">
        <f t="shared" si="149"/>
        <v>15</v>
      </c>
      <c r="N74" s="177">
        <f t="shared" si="150"/>
        <v>39</v>
      </c>
      <c r="O74" s="177">
        <f t="shared" si="151"/>
        <v>14</v>
      </c>
      <c r="P74" s="177">
        <f>'2008'!AZ74+'2008'!BA74</f>
        <v>64</v>
      </c>
      <c r="Q74" s="177">
        <f>'2008'!AU74</f>
        <v>30</v>
      </c>
      <c r="R74" s="177">
        <f t="shared" si="152"/>
        <v>172</v>
      </c>
      <c r="S74" s="177">
        <f t="shared" si="153"/>
        <v>71</v>
      </c>
      <c r="T74" s="177">
        <f t="shared" si="154"/>
        <v>18</v>
      </c>
      <c r="U74" s="179">
        <f t="shared" si="154"/>
        <v>24</v>
      </c>
      <c r="V74" s="177">
        <f t="shared" si="155"/>
        <v>39</v>
      </c>
      <c r="W74" s="177">
        <f t="shared" si="156"/>
        <v>18</v>
      </c>
      <c r="X74" s="177">
        <f t="shared" si="157"/>
        <v>78</v>
      </c>
      <c r="Y74" s="177">
        <f t="shared" si="158"/>
        <v>107</v>
      </c>
      <c r="Z74" s="177">
        <f t="shared" si="159"/>
        <v>24</v>
      </c>
      <c r="AA74" s="177">
        <f t="shared" si="160"/>
        <v>42</v>
      </c>
      <c r="AB74" s="179">
        <f t="shared" si="161"/>
        <v>34</v>
      </c>
      <c r="AC74" s="177">
        <f t="shared" si="162"/>
        <v>18</v>
      </c>
      <c r="AD74" s="177">
        <f t="shared" si="163"/>
        <v>39</v>
      </c>
      <c r="AE74" s="177">
        <f t="shared" si="164"/>
        <v>73</v>
      </c>
      <c r="AF74" s="177">
        <f t="shared" si="165"/>
        <v>35</v>
      </c>
      <c r="AG74" s="177">
        <f t="shared" si="166"/>
        <v>78</v>
      </c>
      <c r="AH74" s="177">
        <f t="shared" si="167"/>
        <v>133</v>
      </c>
      <c r="AI74" s="177">
        <f t="shared" si="168"/>
        <v>14</v>
      </c>
      <c r="AJ74" s="177">
        <f t="shared" si="169"/>
        <v>6</v>
      </c>
      <c r="AK74" s="179">
        <f t="shared" si="170"/>
        <v>21</v>
      </c>
      <c r="AL74" s="177">
        <f t="shared" si="171"/>
        <v>24</v>
      </c>
      <c r="AM74" s="177">
        <f t="shared" si="172"/>
        <v>35</v>
      </c>
      <c r="AN74" s="177">
        <f t="shared" si="173"/>
        <v>32</v>
      </c>
      <c r="AO74" s="177">
        <f t="shared" si="174"/>
        <v>38</v>
      </c>
      <c r="AP74" s="177">
        <f t="shared" si="174"/>
        <v>26</v>
      </c>
      <c r="AQ74" s="177">
        <f t="shared" si="175"/>
        <v>20</v>
      </c>
      <c r="AR74" s="177">
        <f t="shared" si="176"/>
        <v>32</v>
      </c>
      <c r="AS74" s="178">
        <f t="shared" si="177"/>
        <v>36</v>
      </c>
      <c r="AT74" s="181">
        <v>63</v>
      </c>
      <c r="AU74" s="181">
        <v>30</v>
      </c>
      <c r="AV74" s="181">
        <v>71</v>
      </c>
      <c r="AW74" s="181">
        <v>39</v>
      </c>
      <c r="AX74" s="181">
        <v>109</v>
      </c>
      <c r="AY74" s="177">
        <v>96</v>
      </c>
      <c r="AZ74" s="177">
        <v>14</v>
      </c>
      <c r="BA74" s="177">
        <v>50</v>
      </c>
      <c r="BB74" s="177">
        <v>18</v>
      </c>
      <c r="BC74" s="177">
        <v>24</v>
      </c>
      <c r="BD74" s="177">
        <v>15</v>
      </c>
      <c r="BE74" s="177">
        <v>14</v>
      </c>
      <c r="BF74" s="179">
        <v>55</v>
      </c>
      <c r="BG74" s="177">
        <v>12</v>
      </c>
      <c r="BH74" s="177">
        <v>22</v>
      </c>
      <c r="BI74" s="177">
        <v>56</v>
      </c>
      <c r="BJ74" s="177">
        <v>27</v>
      </c>
      <c r="BK74" s="177">
        <v>33</v>
      </c>
      <c r="BL74" s="177">
        <v>18</v>
      </c>
      <c r="BM74" s="177">
        <v>24</v>
      </c>
      <c r="BN74" s="177">
        <v>56</v>
      </c>
      <c r="BO74" s="177">
        <v>13</v>
      </c>
      <c r="BP74" s="177">
        <v>34</v>
      </c>
      <c r="BQ74" s="177">
        <v>29</v>
      </c>
      <c r="BR74" s="179">
        <v>18</v>
      </c>
      <c r="BS74" s="177">
        <v>14</v>
      </c>
      <c r="BT74" s="177">
        <v>59</v>
      </c>
      <c r="BU74" s="177">
        <v>39</v>
      </c>
      <c r="BV74" s="177">
        <v>78</v>
      </c>
      <c r="BW74" s="177">
        <v>14</v>
      </c>
      <c r="BX74" s="177">
        <v>18</v>
      </c>
      <c r="BY74" s="177">
        <v>6</v>
      </c>
      <c r="BZ74" s="177">
        <v>133</v>
      </c>
      <c r="CA74" s="177">
        <v>35</v>
      </c>
      <c r="CB74" s="179">
        <v>21</v>
      </c>
      <c r="CC74" s="177">
        <v>38</v>
      </c>
      <c r="CD74" s="177">
        <v>26</v>
      </c>
      <c r="CE74" s="177">
        <v>24</v>
      </c>
      <c r="CF74" s="177">
        <v>15</v>
      </c>
      <c r="CG74" s="177">
        <v>21</v>
      </c>
      <c r="CH74" s="177">
        <v>35</v>
      </c>
      <c r="CI74" s="177">
        <v>32</v>
      </c>
      <c r="CJ74" s="177">
        <v>32</v>
      </c>
      <c r="CK74" s="178">
        <v>20</v>
      </c>
      <c r="CL74" s="180">
        <v>1600</v>
      </c>
    </row>
    <row r="75" spans="1:90">
      <c r="A75" s="93">
        <f>ROWS($A$3:A73)</f>
        <v>71</v>
      </c>
      <c r="B75" s="106" t="s">
        <v>92</v>
      </c>
      <c r="C75" s="243"/>
      <c r="D75" s="314" t="s">
        <v>14</v>
      </c>
      <c r="E75" s="333"/>
      <c r="F75" s="156">
        <v>4333</v>
      </c>
      <c r="G75" s="177">
        <v>1187</v>
      </c>
      <c r="H75" s="177">
        <v>6063</v>
      </c>
      <c r="I75" s="178">
        <v>1239</v>
      </c>
      <c r="J75" s="181"/>
      <c r="K75" s="156">
        <f t="shared" si="147"/>
        <v>10</v>
      </c>
      <c r="L75" s="177">
        <f t="shared" si="148"/>
        <v>611</v>
      </c>
      <c r="M75" s="177">
        <f t="shared" si="149"/>
        <v>306</v>
      </c>
      <c r="N75" s="177">
        <f t="shared" si="150"/>
        <v>44</v>
      </c>
      <c r="O75" s="177">
        <f t="shared" si="151"/>
        <v>4</v>
      </c>
      <c r="P75" s="177">
        <f>'2008'!AZ75+'2008'!BA75</f>
        <v>1739</v>
      </c>
      <c r="Q75" s="177">
        <f>'2008'!AU75</f>
        <v>51</v>
      </c>
      <c r="R75" s="177">
        <f t="shared" si="152"/>
        <v>994</v>
      </c>
      <c r="S75" s="177">
        <f t="shared" si="153"/>
        <v>115</v>
      </c>
      <c r="T75" s="177">
        <f t="shared" si="154"/>
        <v>444</v>
      </c>
      <c r="U75" s="179">
        <f t="shared" si="154"/>
        <v>15</v>
      </c>
      <c r="V75" s="177">
        <f t="shared" si="155"/>
        <v>554</v>
      </c>
      <c r="W75" s="177">
        <f t="shared" si="156"/>
        <v>5</v>
      </c>
      <c r="X75" s="177">
        <f t="shared" si="157"/>
        <v>237</v>
      </c>
      <c r="Y75" s="177">
        <f t="shared" si="158"/>
        <v>248</v>
      </c>
      <c r="Z75" s="177">
        <f t="shared" si="159"/>
        <v>51</v>
      </c>
      <c r="AA75" s="177">
        <f t="shared" si="160"/>
        <v>87</v>
      </c>
      <c r="AB75" s="179">
        <f t="shared" si="161"/>
        <v>5</v>
      </c>
      <c r="AC75" s="177">
        <f t="shared" si="162"/>
        <v>3</v>
      </c>
      <c r="AD75" s="177">
        <f t="shared" si="163"/>
        <v>930</v>
      </c>
      <c r="AE75" s="177">
        <f t="shared" si="164"/>
        <v>2240</v>
      </c>
      <c r="AF75" s="177">
        <f t="shared" si="165"/>
        <v>335</v>
      </c>
      <c r="AG75" s="177">
        <f t="shared" si="166"/>
        <v>2339</v>
      </c>
      <c r="AH75" s="177">
        <f t="shared" si="167"/>
        <v>144</v>
      </c>
      <c r="AI75" s="177">
        <f t="shared" si="168"/>
        <v>9</v>
      </c>
      <c r="AJ75" s="177">
        <f t="shared" si="169"/>
        <v>3</v>
      </c>
      <c r="AK75" s="179">
        <f t="shared" si="170"/>
        <v>60</v>
      </c>
      <c r="AL75" s="177">
        <f t="shared" si="171"/>
        <v>5</v>
      </c>
      <c r="AM75" s="177">
        <f t="shared" si="172"/>
        <v>9</v>
      </c>
      <c r="AN75" s="177">
        <f t="shared" si="173"/>
        <v>155</v>
      </c>
      <c r="AO75" s="177">
        <f t="shared" si="174"/>
        <v>43</v>
      </c>
      <c r="AP75" s="177">
        <f t="shared" si="174"/>
        <v>25</v>
      </c>
      <c r="AQ75" s="177">
        <f t="shared" si="175"/>
        <v>13</v>
      </c>
      <c r="AR75" s="177">
        <f t="shared" si="176"/>
        <v>968</v>
      </c>
      <c r="AS75" s="178">
        <f t="shared" si="177"/>
        <v>21</v>
      </c>
      <c r="AT75" s="181">
        <v>119</v>
      </c>
      <c r="AU75" s="181">
        <v>51</v>
      </c>
      <c r="AV75" s="181">
        <v>115</v>
      </c>
      <c r="AW75" s="181">
        <v>44</v>
      </c>
      <c r="AX75" s="181">
        <v>875</v>
      </c>
      <c r="AY75" s="177">
        <v>611</v>
      </c>
      <c r="AZ75" s="177">
        <v>115</v>
      </c>
      <c r="BA75" s="177">
        <v>1624</v>
      </c>
      <c r="BB75" s="177">
        <v>444</v>
      </c>
      <c r="BC75" s="177">
        <v>15</v>
      </c>
      <c r="BD75" s="177">
        <v>306</v>
      </c>
      <c r="BE75" s="177">
        <v>4</v>
      </c>
      <c r="BF75" s="179">
        <v>10</v>
      </c>
      <c r="BG75" s="177">
        <v>130</v>
      </c>
      <c r="BH75" s="177">
        <v>6</v>
      </c>
      <c r="BI75" s="177">
        <v>231</v>
      </c>
      <c r="BJ75" s="177">
        <v>424</v>
      </c>
      <c r="BK75" s="177">
        <v>15</v>
      </c>
      <c r="BL75" s="177">
        <v>1</v>
      </c>
      <c r="BM75" s="177">
        <v>51</v>
      </c>
      <c r="BN75" s="177">
        <v>232</v>
      </c>
      <c r="BO75" s="177">
        <v>0</v>
      </c>
      <c r="BP75" s="177">
        <v>5</v>
      </c>
      <c r="BQ75" s="177">
        <v>87</v>
      </c>
      <c r="BR75" s="179">
        <v>5</v>
      </c>
      <c r="BS75" s="177">
        <v>190</v>
      </c>
      <c r="BT75" s="177">
        <v>2050</v>
      </c>
      <c r="BU75" s="177">
        <v>930</v>
      </c>
      <c r="BV75" s="177">
        <v>2339</v>
      </c>
      <c r="BW75" s="177">
        <v>9</v>
      </c>
      <c r="BX75" s="177">
        <v>3</v>
      </c>
      <c r="BY75" s="177">
        <v>3</v>
      </c>
      <c r="BZ75" s="177">
        <v>144</v>
      </c>
      <c r="CA75" s="177">
        <v>335</v>
      </c>
      <c r="CB75" s="179">
        <v>60</v>
      </c>
      <c r="CC75" s="177">
        <v>43</v>
      </c>
      <c r="CD75" s="177">
        <v>25</v>
      </c>
      <c r="CE75" s="177">
        <v>5</v>
      </c>
      <c r="CF75" s="177">
        <v>3</v>
      </c>
      <c r="CG75" s="177">
        <v>18</v>
      </c>
      <c r="CH75" s="177">
        <v>9</v>
      </c>
      <c r="CI75" s="177">
        <v>968</v>
      </c>
      <c r="CJ75" s="177">
        <v>155</v>
      </c>
      <c r="CK75" s="178">
        <v>13</v>
      </c>
      <c r="CL75" s="180">
        <v>12822</v>
      </c>
    </row>
    <row r="76" spans="1:90">
      <c r="A76" s="93">
        <f>ROWS($A$3:A74)</f>
        <v>72</v>
      </c>
      <c r="B76" s="106" t="s">
        <v>93</v>
      </c>
      <c r="C76" s="243"/>
      <c r="D76" s="314" t="s">
        <v>14</v>
      </c>
      <c r="E76" s="333"/>
      <c r="F76" s="156">
        <v>5370</v>
      </c>
      <c r="G76" s="177">
        <v>1872</v>
      </c>
      <c r="H76" s="177">
        <v>7638</v>
      </c>
      <c r="I76" s="178">
        <v>6768</v>
      </c>
      <c r="J76" s="181"/>
      <c r="K76" s="156">
        <f t="shared" si="147"/>
        <v>1438</v>
      </c>
      <c r="L76" s="177">
        <f t="shared" si="148"/>
        <v>584</v>
      </c>
      <c r="M76" s="177">
        <f t="shared" si="149"/>
        <v>220</v>
      </c>
      <c r="N76" s="177">
        <f t="shared" si="150"/>
        <v>573</v>
      </c>
      <c r="O76" s="177">
        <f t="shared" si="151"/>
        <v>270</v>
      </c>
      <c r="P76" s="177">
        <f>'2008'!AZ76+'2008'!BA76</f>
        <v>179</v>
      </c>
      <c r="Q76" s="177">
        <f>'2008'!AU76</f>
        <v>149</v>
      </c>
      <c r="R76" s="177">
        <f t="shared" si="152"/>
        <v>141</v>
      </c>
      <c r="S76" s="177">
        <f t="shared" si="153"/>
        <v>277</v>
      </c>
      <c r="T76" s="177">
        <f t="shared" si="154"/>
        <v>357</v>
      </c>
      <c r="U76" s="179">
        <f t="shared" si="154"/>
        <v>1182</v>
      </c>
      <c r="V76" s="177">
        <f t="shared" si="155"/>
        <v>157</v>
      </c>
      <c r="W76" s="177">
        <f t="shared" si="156"/>
        <v>441</v>
      </c>
      <c r="X76" s="177">
        <f t="shared" si="157"/>
        <v>171</v>
      </c>
      <c r="Y76" s="177">
        <f t="shared" si="158"/>
        <v>258</v>
      </c>
      <c r="Z76" s="177">
        <f t="shared" si="159"/>
        <v>335</v>
      </c>
      <c r="AA76" s="177">
        <f t="shared" si="160"/>
        <v>164</v>
      </c>
      <c r="AB76" s="179">
        <f t="shared" si="161"/>
        <v>346</v>
      </c>
      <c r="AC76" s="177">
        <f t="shared" si="162"/>
        <v>950</v>
      </c>
      <c r="AD76" s="177">
        <f t="shared" si="163"/>
        <v>717</v>
      </c>
      <c r="AE76" s="177">
        <f t="shared" si="164"/>
        <v>1214</v>
      </c>
      <c r="AF76" s="177">
        <f t="shared" si="165"/>
        <v>766</v>
      </c>
      <c r="AG76" s="177">
        <f t="shared" si="166"/>
        <v>1509</v>
      </c>
      <c r="AH76" s="177">
        <f t="shared" si="167"/>
        <v>384</v>
      </c>
      <c r="AI76" s="177">
        <f t="shared" si="168"/>
        <v>591</v>
      </c>
      <c r="AJ76" s="177">
        <f t="shared" si="169"/>
        <v>332</v>
      </c>
      <c r="AK76" s="179">
        <f t="shared" si="170"/>
        <v>1175</v>
      </c>
      <c r="AL76" s="177">
        <f t="shared" si="171"/>
        <v>493</v>
      </c>
      <c r="AM76" s="177">
        <f t="shared" si="172"/>
        <v>1206</v>
      </c>
      <c r="AN76" s="177">
        <f t="shared" si="173"/>
        <v>2488</v>
      </c>
      <c r="AO76" s="177">
        <f t="shared" si="174"/>
        <v>545</v>
      </c>
      <c r="AP76" s="177">
        <f t="shared" si="174"/>
        <v>122</v>
      </c>
      <c r="AQ76" s="177">
        <f t="shared" si="175"/>
        <v>655</v>
      </c>
      <c r="AR76" s="177">
        <f t="shared" si="176"/>
        <v>515</v>
      </c>
      <c r="AS76" s="178">
        <f t="shared" si="177"/>
        <v>744</v>
      </c>
      <c r="AT76" s="181">
        <v>16</v>
      </c>
      <c r="AU76" s="181">
        <v>149</v>
      </c>
      <c r="AV76" s="181">
        <v>277</v>
      </c>
      <c r="AW76" s="181">
        <v>573</v>
      </c>
      <c r="AX76" s="181">
        <v>125</v>
      </c>
      <c r="AY76" s="177">
        <v>584</v>
      </c>
      <c r="AZ76" s="177">
        <v>5</v>
      </c>
      <c r="BA76" s="177">
        <v>174</v>
      </c>
      <c r="BB76" s="177">
        <v>357</v>
      </c>
      <c r="BC76" s="177">
        <v>1182</v>
      </c>
      <c r="BD76" s="177">
        <v>220</v>
      </c>
      <c r="BE76" s="177">
        <v>270</v>
      </c>
      <c r="BF76" s="179">
        <v>1438</v>
      </c>
      <c r="BG76" s="177">
        <v>28</v>
      </c>
      <c r="BH76" s="177">
        <v>15</v>
      </c>
      <c r="BI76" s="177">
        <v>156</v>
      </c>
      <c r="BJ76" s="177">
        <v>129</v>
      </c>
      <c r="BK76" s="177">
        <v>6</v>
      </c>
      <c r="BL76" s="177">
        <v>8</v>
      </c>
      <c r="BM76" s="177">
        <v>335</v>
      </c>
      <c r="BN76" s="177">
        <v>244</v>
      </c>
      <c r="BO76" s="177">
        <v>13</v>
      </c>
      <c r="BP76" s="177">
        <v>346</v>
      </c>
      <c r="BQ76" s="177">
        <v>151</v>
      </c>
      <c r="BR76" s="179">
        <v>441</v>
      </c>
      <c r="BS76" s="177">
        <v>22</v>
      </c>
      <c r="BT76" s="177">
        <v>1192</v>
      </c>
      <c r="BU76" s="177">
        <v>717</v>
      </c>
      <c r="BV76" s="177">
        <v>1509</v>
      </c>
      <c r="BW76" s="177">
        <v>591</v>
      </c>
      <c r="BX76" s="177">
        <v>950</v>
      </c>
      <c r="BY76" s="177">
        <v>332</v>
      </c>
      <c r="BZ76" s="177">
        <v>384</v>
      </c>
      <c r="CA76" s="177">
        <v>766</v>
      </c>
      <c r="CB76" s="179">
        <v>1175</v>
      </c>
      <c r="CC76" s="177">
        <v>545</v>
      </c>
      <c r="CD76" s="177">
        <v>122</v>
      </c>
      <c r="CE76" s="177">
        <v>493</v>
      </c>
      <c r="CF76" s="177">
        <v>29</v>
      </c>
      <c r="CG76" s="177">
        <v>715</v>
      </c>
      <c r="CH76" s="177">
        <v>1206</v>
      </c>
      <c r="CI76" s="177">
        <v>515</v>
      </c>
      <c r="CJ76" s="177">
        <v>2488</v>
      </c>
      <c r="CK76" s="178">
        <v>655</v>
      </c>
      <c r="CL76" s="180">
        <v>21648</v>
      </c>
    </row>
    <row r="77" spans="1:90">
      <c r="A77" s="93">
        <f>ROWS($A$3:A75)</f>
        <v>73</v>
      </c>
      <c r="B77" s="106" t="s">
        <v>94</v>
      </c>
      <c r="C77" s="243"/>
      <c r="D77" s="314" t="s">
        <v>14</v>
      </c>
      <c r="E77" s="333"/>
      <c r="F77" s="156">
        <v>806</v>
      </c>
      <c r="G77" s="177">
        <v>55</v>
      </c>
      <c r="H77" s="177">
        <v>94</v>
      </c>
      <c r="I77" s="178">
        <v>392</v>
      </c>
      <c r="J77" s="181"/>
      <c r="K77" s="156">
        <f t="shared" si="147"/>
        <v>84</v>
      </c>
      <c r="L77" s="177">
        <f t="shared" si="148"/>
        <v>16</v>
      </c>
      <c r="M77" s="177">
        <f t="shared" si="149"/>
        <v>93</v>
      </c>
      <c r="N77" s="177">
        <f t="shared" si="150"/>
        <v>14</v>
      </c>
      <c r="O77" s="177">
        <f t="shared" si="151"/>
        <v>19</v>
      </c>
      <c r="P77" s="177">
        <f>'2008'!AZ77+'2008'!BA77</f>
        <v>14</v>
      </c>
      <c r="Q77" s="177">
        <f>'2008'!AU77</f>
        <v>8</v>
      </c>
      <c r="R77" s="177">
        <f t="shared" si="152"/>
        <v>14</v>
      </c>
      <c r="S77" s="177">
        <f t="shared" si="153"/>
        <v>7</v>
      </c>
      <c r="T77" s="177">
        <f t="shared" si="154"/>
        <v>119</v>
      </c>
      <c r="U77" s="179">
        <f t="shared" si="154"/>
        <v>418</v>
      </c>
      <c r="V77" s="177">
        <f t="shared" si="155"/>
        <v>3</v>
      </c>
      <c r="W77" s="177">
        <f t="shared" si="156"/>
        <v>8</v>
      </c>
      <c r="X77" s="177">
        <f t="shared" si="157"/>
        <v>3</v>
      </c>
      <c r="Y77" s="177">
        <f t="shared" si="158"/>
        <v>17</v>
      </c>
      <c r="Z77" s="177">
        <f t="shared" si="159"/>
        <v>13</v>
      </c>
      <c r="AA77" s="177">
        <f t="shared" si="160"/>
        <v>4</v>
      </c>
      <c r="AB77" s="179">
        <f t="shared" si="161"/>
        <v>7</v>
      </c>
      <c r="AC77" s="177">
        <f t="shared" si="162"/>
        <v>14</v>
      </c>
      <c r="AD77" s="177">
        <f t="shared" si="163"/>
        <v>6</v>
      </c>
      <c r="AE77" s="177">
        <f t="shared" si="164"/>
        <v>6</v>
      </c>
      <c r="AF77" s="177">
        <f t="shared" si="165"/>
        <v>2</v>
      </c>
      <c r="AG77" s="177">
        <f t="shared" si="166"/>
        <v>20</v>
      </c>
      <c r="AH77" s="177">
        <f t="shared" si="167"/>
        <v>14</v>
      </c>
      <c r="AI77" s="177">
        <f t="shared" si="168"/>
        <v>13</v>
      </c>
      <c r="AJ77" s="177">
        <f t="shared" si="169"/>
        <v>3</v>
      </c>
      <c r="AK77" s="179">
        <f t="shared" si="170"/>
        <v>16</v>
      </c>
      <c r="AL77" s="177">
        <f t="shared" si="171"/>
        <v>3</v>
      </c>
      <c r="AM77" s="177">
        <f t="shared" si="172"/>
        <v>92</v>
      </c>
      <c r="AN77" s="177">
        <f t="shared" si="173"/>
        <v>52</v>
      </c>
      <c r="AO77" s="177">
        <f t="shared" si="174"/>
        <v>26</v>
      </c>
      <c r="AP77" s="177">
        <f t="shared" si="174"/>
        <v>3</v>
      </c>
      <c r="AQ77" s="177">
        <f t="shared" si="175"/>
        <v>42</v>
      </c>
      <c r="AR77" s="177">
        <f t="shared" si="176"/>
        <v>10</v>
      </c>
      <c r="AS77" s="178">
        <f t="shared" si="177"/>
        <v>164</v>
      </c>
      <c r="AT77" s="181">
        <v>1</v>
      </c>
      <c r="AU77" s="181">
        <v>8</v>
      </c>
      <c r="AV77" s="181">
        <v>7</v>
      </c>
      <c r="AW77" s="181">
        <v>14</v>
      </c>
      <c r="AX77" s="181">
        <v>13</v>
      </c>
      <c r="AY77" s="177">
        <v>16</v>
      </c>
      <c r="AZ77" s="177">
        <v>1</v>
      </c>
      <c r="BA77" s="177">
        <v>13</v>
      </c>
      <c r="BB77" s="177">
        <v>119</v>
      </c>
      <c r="BC77" s="177">
        <v>418</v>
      </c>
      <c r="BD77" s="177">
        <v>93</v>
      </c>
      <c r="BE77" s="177">
        <v>19</v>
      </c>
      <c r="BF77" s="179">
        <v>84</v>
      </c>
      <c r="BG77" s="177">
        <v>0</v>
      </c>
      <c r="BH77" s="177">
        <v>0</v>
      </c>
      <c r="BI77" s="177">
        <v>3</v>
      </c>
      <c r="BJ77" s="177">
        <v>3</v>
      </c>
      <c r="BK77" s="177">
        <v>0</v>
      </c>
      <c r="BL77" s="177">
        <v>1</v>
      </c>
      <c r="BM77" s="177">
        <v>13</v>
      </c>
      <c r="BN77" s="177">
        <v>16</v>
      </c>
      <c r="BO77" s="177">
        <v>0</v>
      </c>
      <c r="BP77" s="177">
        <v>7</v>
      </c>
      <c r="BQ77" s="177">
        <v>4</v>
      </c>
      <c r="BR77" s="179">
        <v>8</v>
      </c>
      <c r="BS77" s="177">
        <v>0</v>
      </c>
      <c r="BT77" s="177">
        <v>6</v>
      </c>
      <c r="BU77" s="177">
        <v>6</v>
      </c>
      <c r="BV77" s="177">
        <v>20</v>
      </c>
      <c r="BW77" s="177">
        <v>13</v>
      </c>
      <c r="BX77" s="177">
        <v>14</v>
      </c>
      <c r="BY77" s="177">
        <v>3</v>
      </c>
      <c r="BZ77" s="177">
        <v>14</v>
      </c>
      <c r="CA77" s="177">
        <v>2</v>
      </c>
      <c r="CB77" s="179">
        <v>16</v>
      </c>
      <c r="CC77" s="177">
        <v>26</v>
      </c>
      <c r="CD77" s="177">
        <v>3</v>
      </c>
      <c r="CE77" s="177">
        <v>3</v>
      </c>
      <c r="CF77" s="177">
        <v>8</v>
      </c>
      <c r="CG77" s="177">
        <v>156</v>
      </c>
      <c r="CH77" s="177">
        <v>92</v>
      </c>
      <c r="CI77" s="177">
        <v>10</v>
      </c>
      <c r="CJ77" s="177">
        <v>52</v>
      </c>
      <c r="CK77" s="178">
        <v>42</v>
      </c>
      <c r="CL77" s="180">
        <v>1347</v>
      </c>
    </row>
    <row r="78" spans="1:90">
      <c r="A78" s="93">
        <f>ROWS($A$3:A76)</f>
        <v>74</v>
      </c>
      <c r="B78" s="106" t="s">
        <v>95</v>
      </c>
      <c r="C78" s="243"/>
      <c r="D78" s="314" t="s">
        <v>14</v>
      </c>
      <c r="E78" s="333"/>
      <c r="F78" s="156">
        <v>3870</v>
      </c>
      <c r="G78" s="177">
        <v>1268</v>
      </c>
      <c r="H78" s="177">
        <v>2311</v>
      </c>
      <c r="I78" s="178">
        <v>3004</v>
      </c>
      <c r="J78" s="181"/>
      <c r="K78" s="156">
        <f t="shared" si="147"/>
        <v>447</v>
      </c>
      <c r="L78" s="177">
        <f t="shared" si="148"/>
        <v>277</v>
      </c>
      <c r="M78" s="177">
        <f t="shared" si="149"/>
        <v>487</v>
      </c>
      <c r="N78" s="177">
        <f t="shared" si="150"/>
        <v>185</v>
      </c>
      <c r="O78" s="177">
        <f t="shared" si="151"/>
        <v>192</v>
      </c>
      <c r="P78" s="177">
        <f>'2008'!AZ78+'2008'!BA78</f>
        <v>423</v>
      </c>
      <c r="Q78" s="177">
        <f>'2008'!AU78</f>
        <v>202</v>
      </c>
      <c r="R78" s="177">
        <f t="shared" si="152"/>
        <v>369</v>
      </c>
      <c r="S78" s="177">
        <f t="shared" si="153"/>
        <v>192</v>
      </c>
      <c r="T78" s="177">
        <f t="shared" si="154"/>
        <v>435</v>
      </c>
      <c r="U78" s="179">
        <f t="shared" si="154"/>
        <v>661</v>
      </c>
      <c r="V78" s="177">
        <f t="shared" si="155"/>
        <v>105</v>
      </c>
      <c r="W78" s="177">
        <f t="shared" si="156"/>
        <v>115</v>
      </c>
      <c r="X78" s="177">
        <f t="shared" si="157"/>
        <v>181</v>
      </c>
      <c r="Y78" s="177">
        <f t="shared" si="158"/>
        <v>229</v>
      </c>
      <c r="Z78" s="177">
        <f t="shared" si="159"/>
        <v>330</v>
      </c>
      <c r="AA78" s="177">
        <f t="shared" si="160"/>
        <v>148</v>
      </c>
      <c r="AB78" s="179">
        <f t="shared" si="161"/>
        <v>160</v>
      </c>
      <c r="AC78" s="177">
        <f t="shared" si="162"/>
        <v>216</v>
      </c>
      <c r="AD78" s="177">
        <f t="shared" si="163"/>
        <v>160</v>
      </c>
      <c r="AE78" s="177">
        <f t="shared" si="164"/>
        <v>288</v>
      </c>
      <c r="AF78" s="177">
        <f t="shared" si="165"/>
        <v>179</v>
      </c>
      <c r="AG78" s="177">
        <f t="shared" si="166"/>
        <v>584</v>
      </c>
      <c r="AH78" s="177">
        <f t="shared" si="167"/>
        <v>239</v>
      </c>
      <c r="AI78" s="177">
        <f t="shared" si="168"/>
        <v>247</v>
      </c>
      <c r="AJ78" s="177">
        <f t="shared" si="169"/>
        <v>165</v>
      </c>
      <c r="AK78" s="179">
        <f t="shared" si="170"/>
        <v>233</v>
      </c>
      <c r="AL78" s="177">
        <f t="shared" si="171"/>
        <v>186</v>
      </c>
      <c r="AM78" s="177">
        <f t="shared" si="172"/>
        <v>458</v>
      </c>
      <c r="AN78" s="177">
        <f t="shared" si="173"/>
        <v>251</v>
      </c>
      <c r="AO78" s="177">
        <f t="shared" si="174"/>
        <v>366</v>
      </c>
      <c r="AP78" s="177">
        <f t="shared" si="174"/>
        <v>137</v>
      </c>
      <c r="AQ78" s="177">
        <f t="shared" si="175"/>
        <v>502</v>
      </c>
      <c r="AR78" s="177">
        <f t="shared" si="176"/>
        <v>317</v>
      </c>
      <c r="AS78" s="178">
        <f t="shared" si="177"/>
        <v>787</v>
      </c>
      <c r="AT78" s="181">
        <v>29</v>
      </c>
      <c r="AU78" s="181">
        <v>202</v>
      </c>
      <c r="AV78" s="181">
        <v>192</v>
      </c>
      <c r="AW78" s="181">
        <v>185</v>
      </c>
      <c r="AX78" s="181">
        <v>340</v>
      </c>
      <c r="AY78" s="177">
        <v>277</v>
      </c>
      <c r="AZ78" s="177">
        <v>18</v>
      </c>
      <c r="BA78" s="177">
        <v>405</v>
      </c>
      <c r="BB78" s="177">
        <v>435</v>
      </c>
      <c r="BC78" s="177">
        <v>661</v>
      </c>
      <c r="BD78" s="177">
        <v>487</v>
      </c>
      <c r="BE78" s="177">
        <v>192</v>
      </c>
      <c r="BF78" s="179">
        <v>447</v>
      </c>
      <c r="BG78" s="177">
        <v>6</v>
      </c>
      <c r="BH78" s="177">
        <v>15</v>
      </c>
      <c r="BI78" s="177">
        <v>166</v>
      </c>
      <c r="BJ78" s="177">
        <v>99</v>
      </c>
      <c r="BK78" s="177">
        <v>19</v>
      </c>
      <c r="BL78" s="177">
        <v>4</v>
      </c>
      <c r="BM78" s="177">
        <v>330</v>
      </c>
      <c r="BN78" s="177">
        <v>206</v>
      </c>
      <c r="BO78" s="177">
        <v>7</v>
      </c>
      <c r="BP78" s="177">
        <v>160</v>
      </c>
      <c r="BQ78" s="177">
        <v>141</v>
      </c>
      <c r="BR78" s="179">
        <v>115</v>
      </c>
      <c r="BS78" s="177">
        <v>29</v>
      </c>
      <c r="BT78" s="177">
        <v>259</v>
      </c>
      <c r="BU78" s="177">
        <v>160</v>
      </c>
      <c r="BV78" s="177">
        <v>584</v>
      </c>
      <c r="BW78" s="177">
        <v>247</v>
      </c>
      <c r="BX78" s="177">
        <v>216</v>
      </c>
      <c r="BY78" s="177">
        <v>165</v>
      </c>
      <c r="BZ78" s="177">
        <v>239</v>
      </c>
      <c r="CA78" s="177">
        <v>179</v>
      </c>
      <c r="CB78" s="179">
        <v>233</v>
      </c>
      <c r="CC78" s="177">
        <v>366</v>
      </c>
      <c r="CD78" s="177">
        <v>137</v>
      </c>
      <c r="CE78" s="177">
        <v>186</v>
      </c>
      <c r="CF78" s="177">
        <v>47</v>
      </c>
      <c r="CG78" s="177">
        <v>740</v>
      </c>
      <c r="CH78" s="177">
        <v>458</v>
      </c>
      <c r="CI78" s="177">
        <v>317</v>
      </c>
      <c r="CJ78" s="177">
        <v>251</v>
      </c>
      <c r="CK78" s="178">
        <v>502</v>
      </c>
      <c r="CL78" s="180">
        <v>10453</v>
      </c>
    </row>
    <row r="79" spans="1:90">
      <c r="A79" s="93">
        <f>ROWS($A$3:A77)</f>
        <v>75</v>
      </c>
      <c r="B79" s="67" t="s">
        <v>84</v>
      </c>
      <c r="C79" s="242">
        <v>2008</v>
      </c>
      <c r="D79" s="314"/>
      <c r="E79" s="333"/>
      <c r="F79" s="156"/>
      <c r="G79" s="177"/>
      <c r="H79" s="177"/>
      <c r="I79" s="178"/>
      <c r="J79" s="181"/>
      <c r="K79" s="156"/>
      <c r="L79" s="177"/>
      <c r="M79" s="177"/>
      <c r="N79" s="177"/>
      <c r="O79" s="177"/>
      <c r="P79" s="177"/>
      <c r="Q79" s="177"/>
      <c r="R79" s="177"/>
      <c r="S79" s="177"/>
      <c r="T79" s="177"/>
      <c r="U79" s="179"/>
      <c r="V79" s="177"/>
      <c r="W79" s="177"/>
      <c r="X79" s="177"/>
      <c r="Y79" s="177"/>
      <c r="Z79" s="177"/>
      <c r="AA79" s="177"/>
      <c r="AB79" s="179"/>
      <c r="AC79" s="177"/>
      <c r="AD79" s="177"/>
      <c r="AE79" s="177"/>
      <c r="AF79" s="177"/>
      <c r="AG79" s="177"/>
      <c r="AH79" s="177"/>
      <c r="AI79" s="177"/>
      <c r="AJ79" s="177"/>
      <c r="AK79" s="179"/>
      <c r="AL79" s="177"/>
      <c r="AM79" s="177"/>
      <c r="AN79" s="177"/>
      <c r="AO79" s="177"/>
      <c r="AP79" s="177"/>
      <c r="AQ79" s="177"/>
      <c r="AR79" s="177"/>
      <c r="AS79" s="178"/>
      <c r="AT79" s="177"/>
      <c r="AU79" s="177"/>
      <c r="AV79" s="177"/>
      <c r="AW79" s="177"/>
      <c r="AX79" s="177"/>
      <c r="AY79" s="177"/>
      <c r="AZ79" s="177"/>
      <c r="BA79" s="177"/>
      <c r="BB79" s="177"/>
      <c r="BC79" s="177"/>
      <c r="BD79" s="177"/>
      <c r="BE79" s="177"/>
      <c r="BF79" s="179"/>
      <c r="BG79" s="177"/>
      <c r="BH79" s="177"/>
      <c r="BI79" s="177"/>
      <c r="BJ79" s="177"/>
      <c r="BK79" s="177"/>
      <c r="BL79" s="177"/>
      <c r="BM79" s="177"/>
      <c r="BN79" s="177"/>
      <c r="BO79" s="177"/>
      <c r="BP79" s="177"/>
      <c r="BQ79" s="177"/>
      <c r="BR79" s="179"/>
      <c r="BS79" s="177"/>
      <c r="BT79" s="177"/>
      <c r="BU79" s="177"/>
      <c r="BV79" s="177"/>
      <c r="BW79" s="177"/>
      <c r="BX79" s="177"/>
      <c r="BY79" s="177"/>
      <c r="BZ79" s="177"/>
      <c r="CA79" s="177"/>
      <c r="CB79" s="179"/>
      <c r="CC79" s="177"/>
      <c r="CD79" s="177"/>
      <c r="CE79" s="177"/>
      <c r="CF79" s="177"/>
      <c r="CG79" s="177"/>
      <c r="CH79" s="177"/>
      <c r="CI79" s="177"/>
      <c r="CJ79" s="177"/>
      <c r="CK79" s="178"/>
      <c r="CL79" s="180" t="s">
        <v>60</v>
      </c>
    </row>
    <row r="80" spans="1:90">
      <c r="A80" s="93">
        <f>ROWS($A$3:A78)</f>
        <v>76</v>
      </c>
      <c r="B80" s="106" t="s">
        <v>96</v>
      </c>
      <c r="C80" s="245"/>
      <c r="D80" s="314" t="s">
        <v>14</v>
      </c>
      <c r="E80" s="334"/>
      <c r="F80" s="156">
        <v>16240</v>
      </c>
      <c r="G80" s="177">
        <v>5846</v>
      </c>
      <c r="H80" s="177">
        <v>14532</v>
      </c>
      <c r="I80" s="178">
        <v>14317</v>
      </c>
      <c r="J80" s="181"/>
      <c r="K80" s="156">
        <f t="shared" ref="K80:K85" si="178">BF80</f>
        <v>2583</v>
      </c>
      <c r="L80" s="177">
        <f t="shared" ref="L80:L85" si="179">AY80</f>
        <v>1200</v>
      </c>
      <c r="M80" s="177">
        <f t="shared" ref="M80:M85" si="180">BD80</f>
        <v>1954</v>
      </c>
      <c r="N80" s="177">
        <f t="shared" ref="N80:N85" si="181">AW80</f>
        <v>897</v>
      </c>
      <c r="O80" s="177">
        <f t="shared" ref="O80:O85" si="182">BE80</f>
        <v>684</v>
      </c>
      <c r="P80" s="177">
        <f>'2008'!AZ80+'2008'!BA80</f>
        <v>1200</v>
      </c>
      <c r="Q80" s="177">
        <f>'2008'!AU80</f>
        <v>0</v>
      </c>
      <c r="R80" s="177">
        <f t="shared" ref="R80:R85" si="183">AT80+AX80</f>
        <v>1181</v>
      </c>
      <c r="S80" s="177">
        <f t="shared" ref="S80:S85" si="184">AV80</f>
        <v>637</v>
      </c>
      <c r="T80" s="177">
        <f t="shared" ref="T80:U85" si="185">BB80</f>
        <v>1583</v>
      </c>
      <c r="U80" s="179">
        <f t="shared" si="185"/>
        <v>2844</v>
      </c>
      <c r="V80" s="177">
        <f t="shared" ref="V80:V85" si="186">BG80+BJ80</f>
        <v>570</v>
      </c>
      <c r="W80" s="177">
        <f t="shared" ref="W80:W85" si="187">BR80</f>
        <v>949</v>
      </c>
      <c r="X80" s="177">
        <f t="shared" ref="X80:X85" si="188">BH80+BI80</f>
        <v>810</v>
      </c>
      <c r="Y80" s="177">
        <f t="shared" ref="Y80:Y85" si="189">BK80+BL80+BN80</f>
        <v>1081</v>
      </c>
      <c r="Z80" s="177">
        <f t="shared" ref="Z80:Z85" si="190">BM80</f>
        <v>1246</v>
      </c>
      <c r="AA80" s="177">
        <f t="shared" ref="AA80:AA85" si="191">BO80+BQ80</f>
        <v>467</v>
      </c>
      <c r="AB80" s="179">
        <f t="shared" ref="AB80:AB85" si="192">BP80</f>
        <v>723</v>
      </c>
      <c r="AC80" s="177">
        <f t="shared" ref="AC80:AC85" si="193">BX80</f>
        <v>1373</v>
      </c>
      <c r="AD80" s="177">
        <f t="shared" ref="AD80:AD85" si="194">BU80</f>
        <v>1273</v>
      </c>
      <c r="AE80" s="177">
        <f t="shared" ref="AE80:AE85" si="195">BS80+BT80</f>
        <v>2289</v>
      </c>
      <c r="AF80" s="177">
        <f t="shared" ref="AF80:AF85" si="196">CA80</f>
        <v>1225</v>
      </c>
      <c r="AG80" s="177">
        <f t="shared" ref="AG80:AG85" si="197">BV80</f>
        <v>3639</v>
      </c>
      <c r="AH80" s="177">
        <f t="shared" ref="AH80:AH85" si="198">BZ80</f>
        <v>1046</v>
      </c>
      <c r="AI80" s="177">
        <f t="shared" ref="AI80:AI85" si="199">BW80</f>
        <v>1162</v>
      </c>
      <c r="AJ80" s="177">
        <f t="shared" ref="AJ80:AJ85" si="200">BY80</f>
        <v>603</v>
      </c>
      <c r="AK80" s="179">
        <f t="shared" ref="AK80:AK85" si="201">CB80</f>
        <v>1922</v>
      </c>
      <c r="AL80" s="177">
        <f t="shared" ref="AL80:AL85" si="202">CE80</f>
        <v>988</v>
      </c>
      <c r="AM80" s="177">
        <f t="shared" ref="AM80:AM85" si="203">CH80</f>
        <v>2353</v>
      </c>
      <c r="AN80" s="177">
        <f t="shared" ref="AN80:AN85" si="204">CJ80</f>
        <v>3357</v>
      </c>
      <c r="AO80" s="177">
        <f t="shared" ref="AO80:AP85" si="205">CC80</f>
        <v>1276</v>
      </c>
      <c r="AP80" s="177">
        <f t="shared" si="205"/>
        <v>513</v>
      </c>
      <c r="AQ80" s="177">
        <f t="shared" ref="AQ80:AQ85" si="206">CK80</f>
        <v>1720</v>
      </c>
      <c r="AR80" s="177">
        <f t="shared" ref="AR80:AR85" si="207">CI80</f>
        <v>1575</v>
      </c>
      <c r="AS80" s="178">
        <f t="shared" ref="AS80:AS85" si="208">CF80+CG80</f>
        <v>2535</v>
      </c>
      <c r="AT80" s="181">
        <v>0</v>
      </c>
      <c r="AU80" s="181">
        <v>0</v>
      </c>
      <c r="AV80" s="181">
        <v>637</v>
      </c>
      <c r="AW80" s="181">
        <v>897</v>
      </c>
      <c r="AX80" s="181">
        <v>1181</v>
      </c>
      <c r="AY80" s="177">
        <v>1200</v>
      </c>
      <c r="AZ80" s="177">
        <v>0</v>
      </c>
      <c r="BA80" s="177">
        <v>1200</v>
      </c>
      <c r="BB80" s="177">
        <v>1583</v>
      </c>
      <c r="BC80" s="177">
        <v>2844</v>
      </c>
      <c r="BD80" s="177">
        <v>1954</v>
      </c>
      <c r="BE80" s="177">
        <v>684</v>
      </c>
      <c r="BF80" s="179">
        <v>2583</v>
      </c>
      <c r="BG80" s="177">
        <v>0</v>
      </c>
      <c r="BH80" s="177">
        <v>0</v>
      </c>
      <c r="BI80" s="177">
        <v>810</v>
      </c>
      <c r="BJ80" s="177">
        <v>570</v>
      </c>
      <c r="BK80" s="177">
        <v>0</v>
      </c>
      <c r="BL80" s="177">
        <v>0</v>
      </c>
      <c r="BM80" s="177">
        <v>1246</v>
      </c>
      <c r="BN80" s="177">
        <v>1081</v>
      </c>
      <c r="BO80" s="177">
        <v>0</v>
      </c>
      <c r="BP80" s="177">
        <v>723</v>
      </c>
      <c r="BQ80" s="177">
        <v>467</v>
      </c>
      <c r="BR80" s="179">
        <v>949</v>
      </c>
      <c r="BS80" s="177">
        <v>0</v>
      </c>
      <c r="BT80" s="177">
        <v>2289</v>
      </c>
      <c r="BU80" s="177">
        <v>1273</v>
      </c>
      <c r="BV80" s="177">
        <v>3639</v>
      </c>
      <c r="BW80" s="177">
        <v>1162</v>
      </c>
      <c r="BX80" s="177">
        <v>1373</v>
      </c>
      <c r="BY80" s="177">
        <v>603</v>
      </c>
      <c r="BZ80" s="177">
        <v>1046</v>
      </c>
      <c r="CA80" s="177">
        <v>1225</v>
      </c>
      <c r="CB80" s="179">
        <v>1922</v>
      </c>
      <c r="CC80" s="177">
        <v>1276</v>
      </c>
      <c r="CD80" s="177">
        <v>513</v>
      </c>
      <c r="CE80" s="177">
        <v>988</v>
      </c>
      <c r="CF80" s="177">
        <v>0</v>
      </c>
      <c r="CG80" s="177">
        <v>2535</v>
      </c>
      <c r="CH80" s="177">
        <v>2353</v>
      </c>
      <c r="CI80" s="177">
        <v>1575</v>
      </c>
      <c r="CJ80" s="177">
        <v>3357</v>
      </c>
      <c r="CK80" s="178">
        <v>1720</v>
      </c>
      <c r="CL80" s="189">
        <v>1456</v>
      </c>
    </row>
    <row r="81" spans="1:90">
      <c r="A81" s="93">
        <f>ROWS($A$3:A79)</f>
        <v>77</v>
      </c>
      <c r="B81" s="106" t="s">
        <v>97</v>
      </c>
      <c r="C81" s="243"/>
      <c r="D81" s="314" t="s">
        <v>14</v>
      </c>
      <c r="E81" s="334"/>
      <c r="F81" s="156">
        <v>549195</v>
      </c>
      <c r="G81" s="177">
        <v>247320</v>
      </c>
      <c r="H81" s="177">
        <v>411311</v>
      </c>
      <c r="I81" s="178">
        <v>377603</v>
      </c>
      <c r="J81" s="181"/>
      <c r="K81" s="156">
        <f t="shared" si="178"/>
        <v>60088</v>
      </c>
      <c r="L81" s="177">
        <f t="shared" si="179"/>
        <v>49480</v>
      </c>
      <c r="M81" s="177">
        <f t="shared" si="180"/>
        <v>71091</v>
      </c>
      <c r="N81" s="177">
        <f t="shared" si="181"/>
        <v>31583</v>
      </c>
      <c r="O81" s="177">
        <f t="shared" si="182"/>
        <v>21161</v>
      </c>
      <c r="P81" s="177">
        <f>'2008'!AZ81+'2008'!BA81</f>
        <v>49480</v>
      </c>
      <c r="Q81" s="177">
        <f>'2008'!AU81</f>
        <v>0</v>
      </c>
      <c r="R81" s="177">
        <f t="shared" si="183"/>
        <v>56347</v>
      </c>
      <c r="S81" s="177">
        <f t="shared" si="184"/>
        <v>34772</v>
      </c>
      <c r="T81" s="177">
        <f t="shared" si="185"/>
        <v>41159</v>
      </c>
      <c r="U81" s="179">
        <f t="shared" si="185"/>
        <v>74062</v>
      </c>
      <c r="V81" s="177">
        <f t="shared" si="186"/>
        <v>25153</v>
      </c>
      <c r="W81" s="177">
        <f t="shared" si="187"/>
        <v>26263</v>
      </c>
      <c r="X81" s="177">
        <f t="shared" si="188"/>
        <v>41739</v>
      </c>
      <c r="Y81" s="177">
        <f t="shared" si="189"/>
        <v>41846</v>
      </c>
      <c r="Z81" s="177">
        <f t="shared" si="190"/>
        <v>51140</v>
      </c>
      <c r="AA81" s="177">
        <f t="shared" si="191"/>
        <v>33188</v>
      </c>
      <c r="AB81" s="179">
        <f t="shared" si="192"/>
        <v>27991</v>
      </c>
      <c r="AC81" s="177">
        <f t="shared" si="193"/>
        <v>35725</v>
      </c>
      <c r="AD81" s="177">
        <f t="shared" si="194"/>
        <v>33481</v>
      </c>
      <c r="AE81" s="177">
        <f t="shared" si="195"/>
        <v>60402</v>
      </c>
      <c r="AF81" s="177">
        <f t="shared" si="196"/>
        <v>38371</v>
      </c>
      <c r="AG81" s="177">
        <f t="shared" si="197"/>
        <v>89202</v>
      </c>
      <c r="AH81" s="177">
        <f t="shared" si="198"/>
        <v>37474</v>
      </c>
      <c r="AI81" s="177">
        <f t="shared" si="199"/>
        <v>36645</v>
      </c>
      <c r="AJ81" s="177">
        <f t="shared" si="200"/>
        <v>26843</v>
      </c>
      <c r="AK81" s="179">
        <f t="shared" si="201"/>
        <v>53168</v>
      </c>
      <c r="AL81" s="177">
        <f t="shared" si="202"/>
        <v>39724</v>
      </c>
      <c r="AM81" s="177">
        <f t="shared" si="203"/>
        <v>57458</v>
      </c>
      <c r="AN81" s="177">
        <f t="shared" si="204"/>
        <v>53437</v>
      </c>
      <c r="AO81" s="177">
        <f t="shared" si="205"/>
        <v>49117</v>
      </c>
      <c r="AP81" s="177">
        <f t="shared" si="205"/>
        <v>31570</v>
      </c>
      <c r="AQ81" s="177">
        <f t="shared" si="206"/>
        <v>47176</v>
      </c>
      <c r="AR81" s="177">
        <f t="shared" si="207"/>
        <v>33661</v>
      </c>
      <c r="AS81" s="178">
        <f t="shared" si="208"/>
        <v>65460</v>
      </c>
      <c r="AT81" s="181">
        <v>0</v>
      </c>
      <c r="AU81" s="181">
        <v>0</v>
      </c>
      <c r="AV81" s="181">
        <v>34772</v>
      </c>
      <c r="AW81" s="181">
        <v>31583</v>
      </c>
      <c r="AX81" s="181">
        <v>56347</v>
      </c>
      <c r="AY81" s="177">
        <v>49480</v>
      </c>
      <c r="AZ81" s="177">
        <v>0</v>
      </c>
      <c r="BA81" s="177">
        <v>49480</v>
      </c>
      <c r="BB81" s="177">
        <v>41159</v>
      </c>
      <c r="BC81" s="177">
        <v>74062</v>
      </c>
      <c r="BD81" s="177">
        <v>71091</v>
      </c>
      <c r="BE81" s="177">
        <v>21161</v>
      </c>
      <c r="BF81" s="179">
        <v>60088</v>
      </c>
      <c r="BG81" s="177">
        <v>0</v>
      </c>
      <c r="BH81" s="177">
        <v>0</v>
      </c>
      <c r="BI81" s="177">
        <v>41739</v>
      </c>
      <c r="BJ81" s="177">
        <v>25153</v>
      </c>
      <c r="BK81" s="177">
        <v>0</v>
      </c>
      <c r="BL81" s="177">
        <v>0</v>
      </c>
      <c r="BM81" s="177">
        <v>51140</v>
      </c>
      <c r="BN81" s="177">
        <v>41846</v>
      </c>
      <c r="BO81" s="177">
        <v>0</v>
      </c>
      <c r="BP81" s="177">
        <v>27991</v>
      </c>
      <c r="BQ81" s="177">
        <v>33188</v>
      </c>
      <c r="BR81" s="179">
        <v>26263</v>
      </c>
      <c r="BS81" s="177">
        <v>0</v>
      </c>
      <c r="BT81" s="177">
        <v>60402</v>
      </c>
      <c r="BU81" s="177">
        <v>33481</v>
      </c>
      <c r="BV81" s="177">
        <v>89202</v>
      </c>
      <c r="BW81" s="177">
        <v>36645</v>
      </c>
      <c r="BX81" s="177">
        <v>35725</v>
      </c>
      <c r="BY81" s="177">
        <v>26843</v>
      </c>
      <c r="BZ81" s="177">
        <v>37474</v>
      </c>
      <c r="CA81" s="177">
        <v>38371</v>
      </c>
      <c r="CB81" s="179">
        <v>53168</v>
      </c>
      <c r="CC81" s="177">
        <v>49117</v>
      </c>
      <c r="CD81" s="177">
        <v>31570</v>
      </c>
      <c r="CE81" s="177">
        <v>39724</v>
      </c>
      <c r="CF81" s="177">
        <v>0</v>
      </c>
      <c r="CG81" s="177">
        <v>65460</v>
      </c>
      <c r="CH81" s="177">
        <v>57458</v>
      </c>
      <c r="CI81" s="177">
        <v>33661</v>
      </c>
      <c r="CJ81" s="177">
        <v>53437</v>
      </c>
      <c r="CK81" s="178">
        <v>47176</v>
      </c>
      <c r="CL81" s="189">
        <v>45296</v>
      </c>
    </row>
    <row r="82" spans="1:90">
      <c r="A82" s="93">
        <f>ROWS($A$3:A80)</f>
        <v>78</v>
      </c>
      <c r="B82" s="62" t="s">
        <v>98</v>
      </c>
      <c r="C82" s="312"/>
      <c r="D82" s="314" t="s">
        <v>14</v>
      </c>
      <c r="E82" s="334"/>
      <c r="F82" s="182">
        <f>IF(OR(F80&lt;0.1,F81&lt;0.1),0,F81/F80)</f>
        <v>33.817426108374384</v>
      </c>
      <c r="G82" s="183">
        <f>IF(OR(G80&lt;0.1,G81&lt;0.1),0,G81/G80)</f>
        <v>42.305850153951418</v>
      </c>
      <c r="H82" s="183">
        <f>IF(OR(H80&lt;0.1,H81&lt;0.1),0,H81/H80)</f>
        <v>28.303812276355629</v>
      </c>
      <c r="I82" s="184">
        <f>IF(OR(I80&lt;0.1,I81&lt;0.1),0,I81/I80)</f>
        <v>26.374449954599427</v>
      </c>
      <c r="J82" s="181"/>
      <c r="K82" s="185">
        <f t="shared" si="178"/>
        <v>23.262872628726289</v>
      </c>
      <c r="L82" s="186">
        <f t="shared" si="179"/>
        <v>41.233333333333334</v>
      </c>
      <c r="M82" s="186">
        <f t="shared" si="180"/>
        <v>36.382292732855682</v>
      </c>
      <c r="N82" s="186">
        <f t="shared" si="181"/>
        <v>35.20958751393534</v>
      </c>
      <c r="O82" s="186">
        <f t="shared" si="182"/>
        <v>30.937134502923978</v>
      </c>
      <c r="P82" s="183">
        <f>P81/P80</f>
        <v>41.233333333333334</v>
      </c>
      <c r="Q82" s="186">
        <f>'2008'!AU82</f>
        <v>0</v>
      </c>
      <c r="R82" s="186">
        <f t="shared" si="183"/>
        <v>47.711261642675701</v>
      </c>
      <c r="S82" s="186">
        <f t="shared" si="184"/>
        <v>54.587127158555731</v>
      </c>
      <c r="T82" s="186">
        <f t="shared" si="185"/>
        <v>26.000631711939356</v>
      </c>
      <c r="U82" s="187">
        <f t="shared" si="185"/>
        <v>26.041490857946552</v>
      </c>
      <c r="V82" s="186">
        <f t="shared" si="186"/>
        <v>44.128070175438594</v>
      </c>
      <c r="W82" s="186">
        <f t="shared" si="187"/>
        <v>27.674394099051632</v>
      </c>
      <c r="X82" s="186">
        <f t="shared" si="188"/>
        <v>51.529629629629632</v>
      </c>
      <c r="Y82" s="186">
        <f t="shared" si="189"/>
        <v>38.710453283996301</v>
      </c>
      <c r="Z82" s="186">
        <f t="shared" si="190"/>
        <v>41.043338683788122</v>
      </c>
      <c r="AA82" s="186">
        <f t="shared" si="191"/>
        <v>71.066381156316922</v>
      </c>
      <c r="AB82" s="187">
        <f t="shared" si="192"/>
        <v>38.715076071922546</v>
      </c>
      <c r="AC82" s="186">
        <f t="shared" si="193"/>
        <v>26.019664967225054</v>
      </c>
      <c r="AD82" s="186">
        <f t="shared" si="194"/>
        <v>26.300864100549884</v>
      </c>
      <c r="AE82" s="186">
        <f t="shared" si="195"/>
        <v>26.387942332896461</v>
      </c>
      <c r="AF82" s="186">
        <f t="shared" si="196"/>
        <v>31.323265306122448</v>
      </c>
      <c r="AG82" s="186">
        <f t="shared" si="197"/>
        <v>24.512778235779059</v>
      </c>
      <c r="AH82" s="186">
        <f t="shared" si="198"/>
        <v>35.826003824091778</v>
      </c>
      <c r="AI82" s="186">
        <f t="shared" si="199"/>
        <v>31.536144578313252</v>
      </c>
      <c r="AJ82" s="186">
        <f t="shared" si="200"/>
        <v>44.515754560530681</v>
      </c>
      <c r="AK82" s="187">
        <f t="shared" si="201"/>
        <v>27.662851196670136</v>
      </c>
      <c r="AL82" s="186">
        <f t="shared" si="202"/>
        <v>40.206477732793523</v>
      </c>
      <c r="AM82" s="186">
        <f t="shared" si="203"/>
        <v>24.4190395240119</v>
      </c>
      <c r="AN82" s="186">
        <f t="shared" si="204"/>
        <v>15.918081620494489</v>
      </c>
      <c r="AO82" s="186">
        <f t="shared" si="205"/>
        <v>38.492946708463947</v>
      </c>
      <c r="AP82" s="186">
        <f t="shared" si="205"/>
        <v>61.539961013645225</v>
      </c>
      <c r="AQ82" s="186">
        <f t="shared" si="206"/>
        <v>27.427906976744186</v>
      </c>
      <c r="AR82" s="186">
        <f t="shared" si="207"/>
        <v>21.372063492063493</v>
      </c>
      <c r="AS82" s="190">
        <f t="shared" si="208"/>
        <v>25.822485207100591</v>
      </c>
      <c r="AT82" s="186">
        <v>0</v>
      </c>
      <c r="AU82" s="183">
        <f t="shared" ref="AU82:CL82" si="209">IF(OR(AU80&lt;0.1,AU81&lt;0.1),0,AU81/AU80)</f>
        <v>0</v>
      </c>
      <c r="AV82" s="183">
        <f t="shared" si="209"/>
        <v>54.587127158555731</v>
      </c>
      <c r="AW82" s="183">
        <f t="shared" si="209"/>
        <v>35.20958751393534</v>
      </c>
      <c r="AX82" s="183">
        <f t="shared" si="209"/>
        <v>47.711261642675701</v>
      </c>
      <c r="AY82" s="183">
        <f t="shared" si="209"/>
        <v>41.233333333333334</v>
      </c>
      <c r="AZ82" s="183">
        <f t="shared" si="209"/>
        <v>0</v>
      </c>
      <c r="BA82" s="183">
        <f t="shared" si="209"/>
        <v>41.233333333333334</v>
      </c>
      <c r="BB82" s="183">
        <f t="shared" si="209"/>
        <v>26.000631711939356</v>
      </c>
      <c r="BC82" s="183">
        <f t="shared" si="209"/>
        <v>26.041490857946552</v>
      </c>
      <c r="BD82" s="183">
        <f t="shared" si="209"/>
        <v>36.382292732855682</v>
      </c>
      <c r="BE82" s="183">
        <f t="shared" si="209"/>
        <v>30.937134502923978</v>
      </c>
      <c r="BF82" s="188">
        <f t="shared" si="209"/>
        <v>23.262872628726289</v>
      </c>
      <c r="BG82" s="183">
        <f t="shared" si="209"/>
        <v>0</v>
      </c>
      <c r="BH82" s="183">
        <f t="shared" si="209"/>
        <v>0</v>
      </c>
      <c r="BI82" s="183">
        <f t="shared" si="209"/>
        <v>51.529629629629632</v>
      </c>
      <c r="BJ82" s="183">
        <f t="shared" si="209"/>
        <v>44.128070175438594</v>
      </c>
      <c r="BK82" s="183">
        <f t="shared" si="209"/>
        <v>0</v>
      </c>
      <c r="BL82" s="183">
        <f t="shared" si="209"/>
        <v>0</v>
      </c>
      <c r="BM82" s="183">
        <f t="shared" si="209"/>
        <v>41.043338683788122</v>
      </c>
      <c r="BN82" s="183">
        <f t="shared" si="209"/>
        <v>38.710453283996301</v>
      </c>
      <c r="BO82" s="183">
        <f t="shared" si="209"/>
        <v>0</v>
      </c>
      <c r="BP82" s="183">
        <f t="shared" si="209"/>
        <v>38.715076071922546</v>
      </c>
      <c r="BQ82" s="183">
        <f t="shared" si="209"/>
        <v>71.066381156316922</v>
      </c>
      <c r="BR82" s="188">
        <f t="shared" si="209"/>
        <v>27.674394099051632</v>
      </c>
      <c r="BS82" s="183">
        <f t="shared" si="209"/>
        <v>0</v>
      </c>
      <c r="BT82" s="183">
        <f t="shared" si="209"/>
        <v>26.387942332896461</v>
      </c>
      <c r="BU82" s="183">
        <f t="shared" si="209"/>
        <v>26.300864100549884</v>
      </c>
      <c r="BV82" s="183">
        <f t="shared" si="209"/>
        <v>24.512778235779059</v>
      </c>
      <c r="BW82" s="183">
        <f t="shared" si="209"/>
        <v>31.536144578313252</v>
      </c>
      <c r="BX82" s="183">
        <f t="shared" si="209"/>
        <v>26.019664967225054</v>
      </c>
      <c r="BY82" s="183">
        <f t="shared" si="209"/>
        <v>44.515754560530681</v>
      </c>
      <c r="BZ82" s="183">
        <f t="shared" si="209"/>
        <v>35.826003824091778</v>
      </c>
      <c r="CA82" s="183">
        <f t="shared" si="209"/>
        <v>31.323265306122448</v>
      </c>
      <c r="CB82" s="188">
        <f t="shared" si="209"/>
        <v>27.662851196670136</v>
      </c>
      <c r="CC82" s="183">
        <f t="shared" si="209"/>
        <v>38.492946708463947</v>
      </c>
      <c r="CD82" s="183">
        <f t="shared" si="209"/>
        <v>61.539961013645225</v>
      </c>
      <c r="CE82" s="183">
        <f t="shared" si="209"/>
        <v>40.206477732793523</v>
      </c>
      <c r="CF82" s="183">
        <f t="shared" si="209"/>
        <v>0</v>
      </c>
      <c r="CG82" s="183">
        <f t="shared" si="209"/>
        <v>25.822485207100591</v>
      </c>
      <c r="CH82" s="183">
        <f t="shared" si="209"/>
        <v>24.4190395240119</v>
      </c>
      <c r="CI82" s="183">
        <f t="shared" si="209"/>
        <v>21.372063492063493</v>
      </c>
      <c r="CJ82" s="183">
        <f t="shared" si="209"/>
        <v>15.918081620494489</v>
      </c>
      <c r="CK82" s="184">
        <f t="shared" si="209"/>
        <v>27.427906976744186</v>
      </c>
      <c r="CL82" s="189">
        <f t="shared" si="209"/>
        <v>31.109890109890109</v>
      </c>
    </row>
    <row r="83" spans="1:90">
      <c r="A83" s="93">
        <f>ROWS($A$3:A81)</f>
        <v>79</v>
      </c>
      <c r="B83" s="106" t="s">
        <v>99</v>
      </c>
      <c r="C83" s="243"/>
      <c r="D83" s="314" t="s">
        <v>1</v>
      </c>
      <c r="E83" s="334"/>
      <c r="F83" s="157">
        <v>1.33</v>
      </c>
      <c r="G83" s="158">
        <v>1.1599999999999999</v>
      </c>
      <c r="H83" s="158">
        <v>1.08</v>
      </c>
      <c r="I83" s="159">
        <v>1.47</v>
      </c>
      <c r="J83" s="162"/>
      <c r="K83" s="157">
        <f t="shared" si="178"/>
        <v>1.58</v>
      </c>
      <c r="L83" s="158">
        <f t="shared" si="179"/>
        <v>0.79</v>
      </c>
      <c r="M83" s="158">
        <f t="shared" si="180"/>
        <v>1.7</v>
      </c>
      <c r="N83" s="158">
        <f t="shared" si="181"/>
        <v>1.21</v>
      </c>
      <c r="O83" s="158">
        <f t="shared" si="182"/>
        <v>1.64</v>
      </c>
      <c r="P83" s="158">
        <f>'2008'!AZ83+'2008'!BA83</f>
        <v>0.79</v>
      </c>
      <c r="Q83" s="158">
        <f>'2008'!AU83</f>
        <v>0</v>
      </c>
      <c r="R83" s="158">
        <f t="shared" si="183"/>
        <v>0.86</v>
      </c>
      <c r="S83" s="158">
        <f t="shared" si="184"/>
        <v>0.57999999999999996</v>
      </c>
      <c r="T83" s="158">
        <f t="shared" si="185"/>
        <v>2.04</v>
      </c>
      <c r="U83" s="160">
        <f t="shared" si="185"/>
        <v>2</v>
      </c>
      <c r="V83" s="158">
        <f t="shared" si="186"/>
        <v>0.83</v>
      </c>
      <c r="W83" s="158">
        <f t="shared" si="187"/>
        <v>0.93</v>
      </c>
      <c r="X83" s="158">
        <f t="shared" si="188"/>
        <v>1.19</v>
      </c>
      <c r="Y83" s="158">
        <f t="shared" si="189"/>
        <v>1.51</v>
      </c>
      <c r="Z83" s="158">
        <f t="shared" si="190"/>
        <v>1.47</v>
      </c>
      <c r="AA83" s="158">
        <f t="shared" si="191"/>
        <v>0.77</v>
      </c>
      <c r="AB83" s="160">
        <f t="shared" si="192"/>
        <v>0.74</v>
      </c>
      <c r="AC83" s="158">
        <f t="shared" si="193"/>
        <v>1.5</v>
      </c>
      <c r="AD83" s="158">
        <f t="shared" si="194"/>
        <v>0.82</v>
      </c>
      <c r="AE83" s="158">
        <f t="shared" si="195"/>
        <v>1.1599999999999999</v>
      </c>
      <c r="AF83" s="158">
        <f t="shared" si="196"/>
        <v>0.96</v>
      </c>
      <c r="AG83" s="158">
        <f t="shared" si="197"/>
        <v>0.8</v>
      </c>
      <c r="AH83" s="158">
        <f t="shared" si="198"/>
        <v>1.31</v>
      </c>
      <c r="AI83" s="158">
        <f t="shared" si="199"/>
        <v>1.1299999999999999</v>
      </c>
      <c r="AJ83" s="158">
        <f t="shared" si="200"/>
        <v>1.1200000000000001</v>
      </c>
      <c r="AK83" s="160">
        <f t="shared" si="201"/>
        <v>1.34</v>
      </c>
      <c r="AL83" s="158">
        <f t="shared" si="202"/>
        <v>0.94</v>
      </c>
      <c r="AM83" s="158">
        <f t="shared" si="203"/>
        <v>1.84</v>
      </c>
      <c r="AN83" s="158">
        <f t="shared" si="204"/>
        <v>2.0299999999999998</v>
      </c>
      <c r="AO83" s="158">
        <f t="shared" si="205"/>
        <v>0.99</v>
      </c>
      <c r="AP83" s="158">
        <f t="shared" si="205"/>
        <v>0.78</v>
      </c>
      <c r="AQ83" s="158">
        <f t="shared" si="206"/>
        <v>1.6</v>
      </c>
      <c r="AR83" s="158">
        <f t="shared" si="207"/>
        <v>1.52</v>
      </c>
      <c r="AS83" s="159">
        <f t="shared" si="208"/>
        <v>1.71</v>
      </c>
      <c r="AT83" s="162">
        <v>0</v>
      </c>
      <c r="AU83" s="162">
        <v>0</v>
      </c>
      <c r="AV83" s="162">
        <v>0.57999999999999996</v>
      </c>
      <c r="AW83" s="162">
        <v>1.21</v>
      </c>
      <c r="AX83" s="162">
        <v>0.86</v>
      </c>
      <c r="AY83" s="158">
        <v>0.79</v>
      </c>
      <c r="AZ83" s="158">
        <v>0</v>
      </c>
      <c r="BA83" s="158">
        <v>0.79</v>
      </c>
      <c r="BB83" s="158">
        <v>2.04</v>
      </c>
      <c r="BC83" s="158">
        <v>2</v>
      </c>
      <c r="BD83" s="158">
        <v>1.7</v>
      </c>
      <c r="BE83" s="158">
        <v>1.64</v>
      </c>
      <c r="BF83" s="160">
        <v>1.58</v>
      </c>
      <c r="BG83" s="158">
        <v>0</v>
      </c>
      <c r="BH83" s="158">
        <v>0</v>
      </c>
      <c r="BI83" s="158">
        <v>1.19</v>
      </c>
      <c r="BJ83" s="158">
        <v>0.83</v>
      </c>
      <c r="BK83" s="158">
        <v>0</v>
      </c>
      <c r="BL83" s="158">
        <v>0</v>
      </c>
      <c r="BM83" s="158">
        <v>1.47</v>
      </c>
      <c r="BN83" s="158">
        <v>1.51</v>
      </c>
      <c r="BO83" s="158">
        <v>0</v>
      </c>
      <c r="BP83" s="158">
        <v>0.74</v>
      </c>
      <c r="BQ83" s="158">
        <v>0.77</v>
      </c>
      <c r="BR83" s="160">
        <v>0.93</v>
      </c>
      <c r="BS83" s="158">
        <v>0</v>
      </c>
      <c r="BT83" s="158">
        <v>1.1599999999999999</v>
      </c>
      <c r="BU83" s="158">
        <v>0.82</v>
      </c>
      <c r="BV83" s="158">
        <v>0.8</v>
      </c>
      <c r="BW83" s="158">
        <v>1.1299999999999999</v>
      </c>
      <c r="BX83" s="158">
        <v>1.5</v>
      </c>
      <c r="BY83" s="158">
        <v>1.1200000000000001</v>
      </c>
      <c r="BZ83" s="158">
        <v>1.31</v>
      </c>
      <c r="CA83" s="158">
        <v>0.96</v>
      </c>
      <c r="CB83" s="160">
        <v>1.34</v>
      </c>
      <c r="CC83" s="158">
        <v>0.99</v>
      </c>
      <c r="CD83" s="158">
        <v>0.78</v>
      </c>
      <c r="CE83" s="158">
        <v>0.94</v>
      </c>
      <c r="CF83" s="158">
        <v>0</v>
      </c>
      <c r="CG83" s="158">
        <v>1.71</v>
      </c>
      <c r="CH83" s="158">
        <v>1.84</v>
      </c>
      <c r="CI83" s="158">
        <v>1.52</v>
      </c>
      <c r="CJ83" s="158">
        <v>2.0299999999999998</v>
      </c>
      <c r="CK83" s="159">
        <v>1.6</v>
      </c>
      <c r="CL83" s="161">
        <v>1.28</v>
      </c>
    </row>
    <row r="84" spans="1:90">
      <c r="A84" s="93">
        <f>ROWS($A$3:A82)</f>
        <v>80</v>
      </c>
      <c r="B84" s="106" t="s">
        <v>100</v>
      </c>
      <c r="C84" s="243"/>
      <c r="D84" s="314" t="s">
        <v>1</v>
      </c>
      <c r="E84" s="334"/>
      <c r="F84" s="157">
        <v>0.77</v>
      </c>
      <c r="G84" s="158">
        <v>0.68</v>
      </c>
      <c r="H84" s="158">
        <v>1.05</v>
      </c>
      <c r="I84" s="159">
        <v>1.23</v>
      </c>
      <c r="J84" s="162"/>
      <c r="K84" s="157">
        <f t="shared" si="178"/>
        <v>1.1599999999999999</v>
      </c>
      <c r="L84" s="158">
        <f t="shared" si="179"/>
        <v>0.64</v>
      </c>
      <c r="M84" s="158">
        <f t="shared" si="180"/>
        <v>0.56000000000000005</v>
      </c>
      <c r="N84" s="158">
        <f t="shared" si="181"/>
        <v>0.93</v>
      </c>
      <c r="O84" s="158">
        <f t="shared" si="182"/>
        <v>1.1100000000000001</v>
      </c>
      <c r="P84" s="158">
        <f>'2008'!AZ84+'2008'!BA84</f>
        <v>0.64</v>
      </c>
      <c r="Q84" s="158">
        <f>'2008'!AU84</f>
        <v>0</v>
      </c>
      <c r="R84" s="158">
        <f t="shared" si="183"/>
        <v>0.4</v>
      </c>
      <c r="S84" s="158">
        <f t="shared" si="184"/>
        <v>0.63</v>
      </c>
      <c r="T84" s="158">
        <f t="shared" si="185"/>
        <v>0.69</v>
      </c>
      <c r="U84" s="160">
        <f t="shared" si="185"/>
        <v>0.94</v>
      </c>
      <c r="V84" s="158">
        <f t="shared" si="186"/>
        <v>0.67</v>
      </c>
      <c r="W84" s="158">
        <f t="shared" si="187"/>
        <v>0.94</v>
      </c>
      <c r="X84" s="158">
        <f t="shared" si="188"/>
        <v>0.64</v>
      </c>
      <c r="Y84" s="158">
        <f t="shared" si="189"/>
        <v>0.79</v>
      </c>
      <c r="Z84" s="158">
        <f t="shared" si="190"/>
        <v>0.65</v>
      </c>
      <c r="AA84" s="158">
        <f t="shared" si="191"/>
        <v>0.5</v>
      </c>
      <c r="AB84" s="160">
        <f t="shared" si="192"/>
        <v>0.71</v>
      </c>
      <c r="AC84" s="158">
        <f t="shared" si="193"/>
        <v>1.38</v>
      </c>
      <c r="AD84" s="158">
        <f t="shared" si="194"/>
        <v>1.02</v>
      </c>
      <c r="AE84" s="158">
        <f t="shared" si="195"/>
        <v>1.43</v>
      </c>
      <c r="AF84" s="158">
        <f t="shared" si="196"/>
        <v>0.89</v>
      </c>
      <c r="AG84" s="158">
        <f t="shared" si="197"/>
        <v>0.94</v>
      </c>
      <c r="AH84" s="158">
        <f t="shared" si="198"/>
        <v>0.91</v>
      </c>
      <c r="AI84" s="158">
        <f t="shared" si="199"/>
        <v>0.91</v>
      </c>
      <c r="AJ84" s="158">
        <f t="shared" si="200"/>
        <v>0.96</v>
      </c>
      <c r="AK84" s="160">
        <f t="shared" si="201"/>
        <v>1</v>
      </c>
      <c r="AL84" s="158">
        <f t="shared" si="202"/>
        <v>0.94</v>
      </c>
      <c r="AM84" s="158">
        <f t="shared" si="203"/>
        <v>1.34</v>
      </c>
      <c r="AN84" s="158">
        <f t="shared" si="204"/>
        <v>2.21</v>
      </c>
      <c r="AO84" s="158">
        <f t="shared" si="205"/>
        <v>0.97</v>
      </c>
      <c r="AP84" s="158">
        <f t="shared" si="205"/>
        <v>0.54</v>
      </c>
      <c r="AQ84" s="158">
        <f t="shared" si="206"/>
        <v>1.06</v>
      </c>
      <c r="AR84" s="158">
        <f t="shared" si="207"/>
        <v>1.1599999999999999</v>
      </c>
      <c r="AS84" s="159">
        <f t="shared" si="208"/>
        <v>1</v>
      </c>
      <c r="AT84" s="162">
        <v>0</v>
      </c>
      <c r="AU84" s="162">
        <v>0</v>
      </c>
      <c r="AV84" s="162">
        <v>0.63</v>
      </c>
      <c r="AW84" s="162">
        <v>0.93</v>
      </c>
      <c r="AX84" s="162">
        <v>0.4</v>
      </c>
      <c r="AY84" s="158">
        <v>0.64</v>
      </c>
      <c r="AZ84" s="158">
        <v>0</v>
      </c>
      <c r="BA84" s="158">
        <v>0.64</v>
      </c>
      <c r="BB84" s="158">
        <v>0.69</v>
      </c>
      <c r="BC84" s="158">
        <v>0.94</v>
      </c>
      <c r="BD84" s="158">
        <v>0.56000000000000005</v>
      </c>
      <c r="BE84" s="158">
        <v>1.1100000000000001</v>
      </c>
      <c r="BF84" s="160">
        <v>1.1599999999999999</v>
      </c>
      <c r="BG84" s="158">
        <v>0</v>
      </c>
      <c r="BH84" s="158">
        <v>0</v>
      </c>
      <c r="BI84" s="158">
        <v>0.64</v>
      </c>
      <c r="BJ84" s="158">
        <v>0.67</v>
      </c>
      <c r="BK84" s="158">
        <v>0</v>
      </c>
      <c r="BL84" s="158">
        <v>0</v>
      </c>
      <c r="BM84" s="158">
        <v>0.65</v>
      </c>
      <c r="BN84" s="158">
        <v>0.79</v>
      </c>
      <c r="BO84" s="158">
        <v>0</v>
      </c>
      <c r="BP84" s="158">
        <v>0.71</v>
      </c>
      <c r="BQ84" s="158">
        <v>0.5</v>
      </c>
      <c r="BR84" s="160">
        <v>0.94</v>
      </c>
      <c r="BS84" s="158">
        <v>0</v>
      </c>
      <c r="BT84" s="158">
        <v>1.43</v>
      </c>
      <c r="BU84" s="158">
        <v>1.02</v>
      </c>
      <c r="BV84" s="158">
        <v>0.94</v>
      </c>
      <c r="BW84" s="158">
        <v>0.91</v>
      </c>
      <c r="BX84" s="158">
        <v>1.38</v>
      </c>
      <c r="BY84" s="158">
        <v>0.96</v>
      </c>
      <c r="BZ84" s="158">
        <v>0.91</v>
      </c>
      <c r="CA84" s="158">
        <v>0.89</v>
      </c>
      <c r="CB84" s="160">
        <v>1</v>
      </c>
      <c r="CC84" s="158">
        <v>0.97</v>
      </c>
      <c r="CD84" s="158">
        <v>0.54</v>
      </c>
      <c r="CE84" s="158">
        <v>0.94</v>
      </c>
      <c r="CF84" s="158">
        <v>0</v>
      </c>
      <c r="CG84" s="158">
        <v>1</v>
      </c>
      <c r="CH84" s="158">
        <v>1.34</v>
      </c>
      <c r="CI84" s="158">
        <v>1.1599999999999999</v>
      </c>
      <c r="CJ84" s="158">
        <v>2.21</v>
      </c>
      <c r="CK84" s="159">
        <v>1.06</v>
      </c>
      <c r="CL84" s="161">
        <v>0.96</v>
      </c>
    </row>
    <row r="85" spans="1:90">
      <c r="A85" s="93">
        <f>ROWS($A$3:A83)</f>
        <v>81</v>
      </c>
      <c r="B85" s="106" t="s">
        <v>101</v>
      </c>
      <c r="C85" s="243"/>
      <c r="D85" s="314" t="s">
        <v>1</v>
      </c>
      <c r="E85" s="334"/>
      <c r="F85" s="157">
        <v>0.08</v>
      </c>
      <c r="G85" s="158">
        <v>0.04</v>
      </c>
      <c r="H85" s="158">
        <v>0.09</v>
      </c>
      <c r="I85" s="159">
        <v>0.06</v>
      </c>
      <c r="J85" s="162"/>
      <c r="K85" s="157">
        <f t="shared" si="178"/>
        <v>0.01</v>
      </c>
      <c r="L85" s="158">
        <f t="shared" si="179"/>
        <v>0.09</v>
      </c>
      <c r="M85" s="158">
        <f t="shared" si="180"/>
        <v>7.0000000000000007E-2</v>
      </c>
      <c r="N85" s="158">
        <f t="shared" si="181"/>
        <v>0.01</v>
      </c>
      <c r="O85" s="158">
        <f t="shared" si="182"/>
        <v>0</v>
      </c>
      <c r="P85" s="158">
        <f>'2008'!AZ85+'2008'!BA85</f>
        <v>0.09</v>
      </c>
      <c r="Q85" s="158">
        <f>'2008'!AU85</f>
        <v>0</v>
      </c>
      <c r="R85" s="158">
        <f t="shared" si="183"/>
        <v>0.17</v>
      </c>
      <c r="S85" s="158">
        <f t="shared" si="184"/>
        <v>0.02</v>
      </c>
      <c r="T85" s="158">
        <f t="shared" si="185"/>
        <v>0.11</v>
      </c>
      <c r="U85" s="160">
        <f t="shared" si="185"/>
        <v>0</v>
      </c>
      <c r="V85" s="158">
        <f t="shared" si="186"/>
        <v>0.14000000000000001</v>
      </c>
      <c r="W85" s="158">
        <f t="shared" si="187"/>
        <v>0</v>
      </c>
      <c r="X85" s="158">
        <f t="shared" si="188"/>
        <v>7.0000000000000007E-2</v>
      </c>
      <c r="Y85" s="158">
        <f t="shared" si="189"/>
        <v>0.08</v>
      </c>
      <c r="Z85" s="158">
        <f t="shared" si="190"/>
        <v>0.02</v>
      </c>
      <c r="AA85" s="158">
        <f t="shared" si="191"/>
        <v>0.01</v>
      </c>
      <c r="AB85" s="160">
        <f t="shared" si="192"/>
        <v>0</v>
      </c>
      <c r="AC85" s="158">
        <f t="shared" si="193"/>
        <v>0</v>
      </c>
      <c r="AD85" s="158">
        <f t="shared" si="194"/>
        <v>0.15</v>
      </c>
      <c r="AE85" s="158">
        <f t="shared" si="195"/>
        <v>0.28000000000000003</v>
      </c>
      <c r="AF85" s="158">
        <f t="shared" si="196"/>
        <v>7.0000000000000007E-2</v>
      </c>
      <c r="AG85" s="158">
        <f t="shared" si="197"/>
        <v>0.23</v>
      </c>
      <c r="AH85" s="158">
        <f t="shared" si="198"/>
        <v>7.0000000000000007E-2</v>
      </c>
      <c r="AI85" s="158">
        <f t="shared" si="199"/>
        <v>0</v>
      </c>
      <c r="AJ85" s="158">
        <f t="shared" si="200"/>
        <v>0</v>
      </c>
      <c r="AK85" s="160">
        <f t="shared" si="201"/>
        <v>0.01</v>
      </c>
      <c r="AL85" s="158">
        <f t="shared" si="202"/>
        <v>0.01</v>
      </c>
      <c r="AM85" s="158">
        <f t="shared" si="203"/>
        <v>0.01</v>
      </c>
      <c r="AN85" s="158">
        <f t="shared" si="204"/>
        <v>0.05</v>
      </c>
      <c r="AO85" s="158">
        <f t="shared" si="205"/>
        <v>0</v>
      </c>
      <c r="AP85" s="158">
        <f t="shared" si="205"/>
        <v>0.01</v>
      </c>
      <c r="AQ85" s="158">
        <f t="shared" si="206"/>
        <v>0</v>
      </c>
      <c r="AR85" s="158">
        <f t="shared" si="207"/>
        <v>0.66</v>
      </c>
      <c r="AS85" s="159">
        <f t="shared" si="208"/>
        <v>0</v>
      </c>
      <c r="AT85" s="162">
        <v>0</v>
      </c>
      <c r="AU85" s="162">
        <v>0</v>
      </c>
      <c r="AV85" s="162">
        <v>0.02</v>
      </c>
      <c r="AW85" s="162">
        <v>0.01</v>
      </c>
      <c r="AX85" s="162">
        <v>0.17</v>
      </c>
      <c r="AY85" s="158">
        <v>0.09</v>
      </c>
      <c r="AZ85" s="158">
        <v>0</v>
      </c>
      <c r="BA85" s="158">
        <v>0.09</v>
      </c>
      <c r="BB85" s="158">
        <v>0.11</v>
      </c>
      <c r="BC85" s="158">
        <v>0</v>
      </c>
      <c r="BD85" s="158">
        <v>7.0000000000000007E-2</v>
      </c>
      <c r="BE85" s="158">
        <v>0</v>
      </c>
      <c r="BF85" s="160">
        <v>0.01</v>
      </c>
      <c r="BG85" s="158">
        <v>0</v>
      </c>
      <c r="BH85" s="158">
        <v>0</v>
      </c>
      <c r="BI85" s="158">
        <v>7.0000000000000007E-2</v>
      </c>
      <c r="BJ85" s="158">
        <v>0.14000000000000001</v>
      </c>
      <c r="BK85" s="158">
        <v>0</v>
      </c>
      <c r="BL85" s="158">
        <v>0</v>
      </c>
      <c r="BM85" s="158">
        <v>0.02</v>
      </c>
      <c r="BN85" s="158">
        <v>0.08</v>
      </c>
      <c r="BO85" s="158">
        <v>0</v>
      </c>
      <c r="BP85" s="158">
        <v>0</v>
      </c>
      <c r="BQ85" s="158">
        <v>0.01</v>
      </c>
      <c r="BR85" s="160">
        <v>0</v>
      </c>
      <c r="BS85" s="158">
        <v>0</v>
      </c>
      <c r="BT85" s="158">
        <v>0.28000000000000003</v>
      </c>
      <c r="BU85" s="158">
        <v>0.15</v>
      </c>
      <c r="BV85" s="158">
        <v>0.23</v>
      </c>
      <c r="BW85" s="158">
        <v>0</v>
      </c>
      <c r="BX85" s="158">
        <v>0</v>
      </c>
      <c r="BY85" s="158">
        <v>0</v>
      </c>
      <c r="BZ85" s="158">
        <v>7.0000000000000007E-2</v>
      </c>
      <c r="CA85" s="158">
        <v>7.0000000000000007E-2</v>
      </c>
      <c r="CB85" s="160">
        <v>0.01</v>
      </c>
      <c r="CC85" s="158">
        <v>0</v>
      </c>
      <c r="CD85" s="158">
        <v>0.01</v>
      </c>
      <c r="CE85" s="158">
        <v>0.01</v>
      </c>
      <c r="CF85" s="158">
        <v>0</v>
      </c>
      <c r="CG85" s="158">
        <v>0</v>
      </c>
      <c r="CH85" s="158">
        <v>0.01</v>
      </c>
      <c r="CI85" s="158">
        <v>0.66</v>
      </c>
      <c r="CJ85" s="158">
        <v>0.05</v>
      </c>
      <c r="CK85" s="159">
        <v>0</v>
      </c>
      <c r="CL85" s="161">
        <v>7.0000000000000007E-2</v>
      </c>
    </row>
    <row r="86" spans="1:90">
      <c r="A86" s="93">
        <f>ROWS($A$3:A84)</f>
        <v>82</v>
      </c>
      <c r="B86" s="303" t="s">
        <v>202</v>
      </c>
      <c r="C86" s="242">
        <v>2008</v>
      </c>
      <c r="D86" s="314"/>
      <c r="E86" s="333"/>
      <c r="F86" s="156"/>
      <c r="G86" s="177"/>
      <c r="H86" s="177"/>
      <c r="I86" s="178"/>
      <c r="J86" s="181"/>
      <c r="K86" s="156"/>
      <c r="L86" s="177"/>
      <c r="M86" s="177"/>
      <c r="N86" s="177"/>
      <c r="O86" s="177"/>
      <c r="P86" s="177"/>
      <c r="Q86" s="177"/>
      <c r="R86" s="181"/>
      <c r="S86" s="177"/>
      <c r="T86" s="177"/>
      <c r="U86" s="179"/>
      <c r="V86" s="177"/>
      <c r="W86" s="177"/>
      <c r="X86" s="177"/>
      <c r="Y86" s="177"/>
      <c r="Z86" s="177"/>
      <c r="AA86" s="177"/>
      <c r="AB86" s="179"/>
      <c r="AC86" s="177"/>
      <c r="AD86" s="177"/>
      <c r="AE86" s="177"/>
      <c r="AF86" s="177"/>
      <c r="AG86" s="177"/>
      <c r="AH86" s="177"/>
      <c r="AI86" s="177"/>
      <c r="AJ86" s="177"/>
      <c r="AK86" s="179"/>
      <c r="AL86" s="177"/>
      <c r="AM86" s="177"/>
      <c r="AN86" s="177"/>
      <c r="AO86" s="177"/>
      <c r="AP86" s="177"/>
      <c r="AQ86" s="177"/>
      <c r="AR86" s="177"/>
      <c r="AS86" s="178"/>
      <c r="AT86" s="181"/>
      <c r="AU86" s="177"/>
      <c r="AV86" s="177"/>
      <c r="AW86" s="177"/>
      <c r="AX86" s="177"/>
      <c r="AY86" s="177"/>
      <c r="AZ86" s="177"/>
      <c r="BA86" s="177"/>
      <c r="BB86" s="177"/>
      <c r="BC86" s="177"/>
      <c r="BD86" s="177"/>
      <c r="BE86" s="177"/>
      <c r="BF86" s="179"/>
      <c r="BG86" s="177"/>
      <c r="BH86" s="177"/>
      <c r="BI86" s="177"/>
      <c r="BJ86" s="177"/>
      <c r="BK86" s="177"/>
      <c r="BL86" s="177"/>
      <c r="BM86" s="177"/>
      <c r="BN86" s="177"/>
      <c r="BO86" s="177"/>
      <c r="BP86" s="177"/>
      <c r="BQ86" s="177"/>
      <c r="BR86" s="179"/>
      <c r="BS86" s="177"/>
      <c r="BT86" s="177"/>
      <c r="BU86" s="177"/>
      <c r="BV86" s="177"/>
      <c r="BW86" s="177"/>
      <c r="BX86" s="177"/>
      <c r="BY86" s="177"/>
      <c r="BZ86" s="177"/>
      <c r="CA86" s="177"/>
      <c r="CB86" s="179"/>
      <c r="CC86" s="177"/>
      <c r="CD86" s="177"/>
      <c r="CE86" s="177"/>
      <c r="CF86" s="177"/>
      <c r="CG86" s="177"/>
      <c r="CH86" s="177"/>
      <c r="CI86" s="177"/>
      <c r="CJ86" s="177"/>
      <c r="CK86" s="178"/>
      <c r="CL86" s="180"/>
    </row>
    <row r="87" spans="1:90">
      <c r="A87" s="93">
        <f>ROWS($A$3:A85)</f>
        <v>83</v>
      </c>
      <c r="B87" s="62" t="s">
        <v>200</v>
      </c>
      <c r="C87" s="330"/>
      <c r="D87" s="314" t="s">
        <v>201</v>
      </c>
      <c r="E87" s="316">
        <v>40680</v>
      </c>
      <c r="F87" s="191">
        <v>21015</v>
      </c>
      <c r="G87" s="191">
        <v>16381</v>
      </c>
      <c r="H87" s="191">
        <v>16565</v>
      </c>
      <c r="I87" s="192">
        <v>17821</v>
      </c>
      <c r="J87" s="347"/>
      <c r="K87" s="156">
        <f>BF87</f>
        <v>16012</v>
      </c>
      <c r="L87" s="177">
        <f>AY87</f>
        <v>24481</v>
      </c>
      <c r="M87" s="177">
        <f>BD87</f>
        <v>11853</v>
      </c>
      <c r="N87" s="177">
        <f>AW87</f>
        <v>16659</v>
      </c>
      <c r="O87" s="177">
        <f>BE87</f>
        <v>18744</v>
      </c>
      <c r="P87" s="183">
        <f>(AZ101*AZ87+BA101*BA87)/(AZ101+BA101)</f>
        <v>26121.121951219513</v>
      </c>
      <c r="Q87" s="177">
        <f>'2008'!AU87</f>
        <v>31866</v>
      </c>
      <c r="R87" s="183">
        <f>(AT101*AT87+AX101*AX87)/(AT101+AX101)</f>
        <v>40885.713091922007</v>
      </c>
      <c r="S87" s="177">
        <f>AV87</f>
        <v>27697</v>
      </c>
      <c r="T87" s="177">
        <f>BB87</f>
        <v>24814</v>
      </c>
      <c r="U87" s="179">
        <f>BC87</f>
        <v>16389</v>
      </c>
      <c r="V87" s="183">
        <f>(BG101*BG87+BJ101*BJ87)/(BG101+BJ101)</f>
        <v>20202.151162790698</v>
      </c>
      <c r="W87" s="177">
        <f>BR87</f>
        <v>10700</v>
      </c>
      <c r="X87" s="183">
        <f>(BH101*BH87+BI101*BI87)/(BH101+BI101)</f>
        <v>23645</v>
      </c>
      <c r="Y87" s="183">
        <f>(BK101*BK87+BL101*BL87+BN101*BN87)/(BK101+BL101+BN101)</f>
        <v>32079.18181818182</v>
      </c>
      <c r="Z87" s="177">
        <f>BM87</f>
        <v>10474</v>
      </c>
      <c r="AA87" s="183">
        <f>(BO101*BO87+BQ101*BQ87)/(BO101+BQ101)</f>
        <v>21839.246376811596</v>
      </c>
      <c r="AB87" s="179">
        <f>BP87</f>
        <v>15329</v>
      </c>
      <c r="AC87" s="177">
        <f>BX87</f>
        <v>11058</v>
      </c>
      <c r="AD87" s="177">
        <f>BU87</f>
        <v>23540</v>
      </c>
      <c r="AE87" s="183">
        <f>(BS101*BS87+BT101*BT87)/(BS101+BT101)</f>
        <v>22915.966183574878</v>
      </c>
      <c r="AF87" s="177">
        <f>CA87</f>
        <v>18394</v>
      </c>
      <c r="AG87" s="177">
        <f>BV87</f>
        <v>17454</v>
      </c>
      <c r="AH87" s="177">
        <f>BZ87</f>
        <v>12743</v>
      </c>
      <c r="AI87" s="177">
        <f>BW87</f>
        <v>11301</v>
      </c>
      <c r="AJ87" s="177">
        <f>BY87</f>
        <v>11139</v>
      </c>
      <c r="AK87" s="179">
        <f>CB87</f>
        <v>11378</v>
      </c>
      <c r="AL87" s="177">
        <f>CE87</f>
        <v>10534</v>
      </c>
      <c r="AM87" s="177">
        <f>CH87</f>
        <v>20268</v>
      </c>
      <c r="AN87" s="177">
        <f>CJ87</f>
        <v>16528</v>
      </c>
      <c r="AO87" s="177">
        <f>CC87</f>
        <v>13738</v>
      </c>
      <c r="AP87" s="177">
        <f>CD87</f>
        <v>20920</v>
      </c>
      <c r="AQ87" s="177">
        <f>CK87</f>
        <v>11912</v>
      </c>
      <c r="AR87" s="177">
        <f>CI87</f>
        <v>19293</v>
      </c>
      <c r="AS87" s="184">
        <f>(CF101*CF87+CG101*CG87)/(CF101+CG101)</f>
        <v>25116</v>
      </c>
      <c r="AT87" s="181">
        <v>115225</v>
      </c>
      <c r="AU87" s="191">
        <v>31866</v>
      </c>
      <c r="AV87" s="191">
        <v>27697</v>
      </c>
      <c r="AW87" s="191">
        <v>16659</v>
      </c>
      <c r="AX87" s="191">
        <v>36267</v>
      </c>
      <c r="AY87" s="191">
        <v>24481</v>
      </c>
      <c r="AZ87" s="191">
        <v>36294</v>
      </c>
      <c r="BA87" s="191">
        <v>24534</v>
      </c>
      <c r="BB87" s="191">
        <v>24814</v>
      </c>
      <c r="BC87" s="191">
        <v>16389</v>
      </c>
      <c r="BD87" s="191">
        <v>11853</v>
      </c>
      <c r="BE87" s="191">
        <v>18744</v>
      </c>
      <c r="BF87" s="193">
        <v>16012</v>
      </c>
      <c r="BG87" s="191">
        <v>31880</v>
      </c>
      <c r="BH87" s="191">
        <v>37009</v>
      </c>
      <c r="BI87" s="191">
        <v>23645</v>
      </c>
      <c r="BJ87" s="191">
        <v>17735</v>
      </c>
      <c r="BK87" s="191">
        <v>65606</v>
      </c>
      <c r="BL87" s="191">
        <v>0</v>
      </c>
      <c r="BM87" s="191">
        <v>10474</v>
      </c>
      <c r="BN87" s="191">
        <v>29626</v>
      </c>
      <c r="BO87" s="191">
        <v>34144</v>
      </c>
      <c r="BP87" s="191">
        <v>15329</v>
      </c>
      <c r="BQ87" s="191">
        <v>20450</v>
      </c>
      <c r="BR87" s="193">
        <v>10700</v>
      </c>
      <c r="BS87" s="191">
        <v>29283</v>
      </c>
      <c r="BT87" s="191">
        <v>22235</v>
      </c>
      <c r="BU87" s="191">
        <v>23540</v>
      </c>
      <c r="BV87" s="191">
        <v>17454</v>
      </c>
      <c r="BW87" s="191">
        <v>11301</v>
      </c>
      <c r="BX87" s="191">
        <v>11058</v>
      </c>
      <c r="BY87" s="191">
        <v>11139</v>
      </c>
      <c r="BZ87" s="191">
        <v>12743</v>
      </c>
      <c r="CA87" s="191">
        <v>18394</v>
      </c>
      <c r="CB87" s="193">
        <v>11378</v>
      </c>
      <c r="CC87" s="191">
        <v>13738</v>
      </c>
      <c r="CD87" s="191">
        <v>20920</v>
      </c>
      <c r="CE87" s="191">
        <v>10534</v>
      </c>
      <c r="CF87" s="191">
        <v>66906</v>
      </c>
      <c r="CG87" s="191">
        <v>25116</v>
      </c>
      <c r="CH87" s="191">
        <v>20268</v>
      </c>
      <c r="CI87" s="191">
        <v>19293</v>
      </c>
      <c r="CJ87" s="191">
        <v>16528</v>
      </c>
      <c r="CK87" s="191">
        <v>11912</v>
      </c>
      <c r="CL87" s="180">
        <v>18682</v>
      </c>
    </row>
    <row r="88" spans="1:90">
      <c r="A88" s="93">
        <f>ROWS($A$3:A86)</f>
        <v>84</v>
      </c>
      <c r="B88" s="67" t="s">
        <v>203</v>
      </c>
      <c r="C88" s="242">
        <v>2008</v>
      </c>
      <c r="D88" s="314"/>
      <c r="E88" s="334"/>
      <c r="F88" s="156"/>
      <c r="G88" s="177"/>
      <c r="H88" s="177"/>
      <c r="I88" s="178"/>
      <c r="J88" s="181"/>
      <c r="K88" s="156"/>
      <c r="L88" s="177"/>
      <c r="M88" s="177"/>
      <c r="N88" s="177"/>
      <c r="O88" s="177"/>
      <c r="P88" s="177"/>
      <c r="Q88" s="177"/>
      <c r="R88" s="177"/>
      <c r="S88" s="177"/>
      <c r="T88" s="177"/>
      <c r="U88" s="179"/>
      <c r="V88" s="177"/>
      <c r="W88" s="177"/>
      <c r="X88" s="177"/>
      <c r="Y88" s="177"/>
      <c r="Z88" s="177"/>
      <c r="AA88" s="177"/>
      <c r="AB88" s="179"/>
      <c r="AC88" s="177"/>
      <c r="AD88" s="177"/>
      <c r="AE88" s="177"/>
      <c r="AF88" s="177"/>
      <c r="AG88" s="177"/>
      <c r="AH88" s="177"/>
      <c r="AI88" s="177"/>
      <c r="AJ88" s="177"/>
      <c r="AK88" s="179"/>
      <c r="AL88" s="177"/>
      <c r="AM88" s="177"/>
      <c r="AN88" s="177"/>
      <c r="AO88" s="177"/>
      <c r="AP88" s="177"/>
      <c r="AQ88" s="177"/>
      <c r="AR88" s="177"/>
      <c r="AS88" s="178"/>
      <c r="AT88" s="177"/>
      <c r="AU88" s="177"/>
      <c r="AV88" s="177"/>
      <c r="AW88" s="177"/>
      <c r="AX88" s="177"/>
      <c r="AY88" s="177"/>
      <c r="AZ88" s="177"/>
      <c r="BA88" s="177"/>
      <c r="BB88" s="177"/>
      <c r="BC88" s="177"/>
      <c r="BD88" s="177"/>
      <c r="BE88" s="177"/>
      <c r="BF88" s="179"/>
      <c r="BG88" s="177"/>
      <c r="BH88" s="177"/>
      <c r="BI88" s="177"/>
      <c r="BJ88" s="177"/>
      <c r="BK88" s="177"/>
      <c r="BL88" s="177"/>
      <c r="BM88" s="177"/>
      <c r="BN88" s="177"/>
      <c r="BO88" s="177"/>
      <c r="BP88" s="177"/>
      <c r="BQ88" s="177"/>
      <c r="BR88" s="179"/>
      <c r="BS88" s="177"/>
      <c r="BT88" s="177"/>
      <c r="BU88" s="177"/>
      <c r="BV88" s="177"/>
      <c r="BW88" s="177"/>
      <c r="BX88" s="177"/>
      <c r="BY88" s="177"/>
      <c r="BZ88" s="177"/>
      <c r="CA88" s="177"/>
      <c r="CB88" s="179"/>
      <c r="CC88" s="177"/>
      <c r="CD88" s="177"/>
      <c r="CE88" s="177"/>
      <c r="CF88" s="177"/>
      <c r="CG88" s="177"/>
      <c r="CH88" s="177"/>
      <c r="CI88" s="177"/>
      <c r="CJ88" s="177"/>
      <c r="CK88" s="178"/>
      <c r="CL88" s="180"/>
    </row>
    <row r="89" spans="1:90">
      <c r="A89" s="93">
        <f>ROWS($A$3:A87)</f>
        <v>85</v>
      </c>
      <c r="B89" s="297" t="s">
        <v>204</v>
      </c>
      <c r="C89" s="245"/>
      <c r="D89" s="314" t="s">
        <v>205</v>
      </c>
      <c r="E89" s="316">
        <v>40680</v>
      </c>
      <c r="F89" s="210">
        <v>65.099999999999994</v>
      </c>
      <c r="G89" s="213">
        <v>63.7</v>
      </c>
      <c r="H89" s="213">
        <v>62.8</v>
      </c>
      <c r="I89" s="214">
        <v>67.400000000000006</v>
      </c>
      <c r="J89" s="213"/>
      <c r="K89" s="210">
        <f>BF89</f>
        <v>62.1</v>
      </c>
      <c r="L89" s="211">
        <f>AY89</f>
        <v>58.4</v>
      </c>
      <c r="M89" s="211">
        <f>BD89</f>
        <v>62.3</v>
      </c>
      <c r="N89" s="211">
        <f>AW89</f>
        <v>59.2</v>
      </c>
      <c r="O89" s="211">
        <f>BE89</f>
        <v>62.8</v>
      </c>
      <c r="P89" s="211">
        <f>'2008'!BA89</f>
        <v>70.7</v>
      </c>
      <c r="Q89" s="211">
        <f>'2008'!AU89</f>
        <v>72</v>
      </c>
      <c r="R89" s="211">
        <f>AX89</f>
        <v>72.099999999999994</v>
      </c>
      <c r="S89" s="211">
        <f>AV89</f>
        <v>64.900000000000006</v>
      </c>
      <c r="T89" s="211">
        <f t="shared" ref="T89:U93" si="210">BB89</f>
        <v>64.8</v>
      </c>
      <c r="U89" s="212">
        <f t="shared" si="210"/>
        <v>64.3</v>
      </c>
      <c r="V89" s="211">
        <f>BJ89</f>
        <v>59.8</v>
      </c>
      <c r="W89" s="211">
        <f>BR89</f>
        <v>66.099999999999994</v>
      </c>
      <c r="X89" s="211">
        <f>BI89</f>
        <v>67</v>
      </c>
      <c r="Y89" s="211">
        <f>BN89</f>
        <v>66.7</v>
      </c>
      <c r="Z89" s="211">
        <f>BM89</f>
        <v>60</v>
      </c>
      <c r="AA89" s="211">
        <f>BQ89</f>
        <v>64.3</v>
      </c>
      <c r="AB89" s="212">
        <f>BP89</f>
        <v>61.7</v>
      </c>
      <c r="AC89" s="211">
        <f>BX89</f>
        <v>60</v>
      </c>
      <c r="AD89" s="211">
        <f>BU89</f>
        <v>61.4</v>
      </c>
      <c r="AE89" s="211">
        <f>BT89</f>
        <v>64</v>
      </c>
      <c r="AF89" s="211">
        <f>CA89</f>
        <v>63.6</v>
      </c>
      <c r="AG89" s="211">
        <f>BV89</f>
        <v>68.7</v>
      </c>
      <c r="AH89" s="211">
        <f>BZ89</f>
        <v>65.3</v>
      </c>
      <c r="AI89" s="211">
        <f>BW89</f>
        <v>63.7</v>
      </c>
      <c r="AJ89" s="211">
        <f>BY89</f>
        <v>60.5</v>
      </c>
      <c r="AK89" s="212">
        <f>CB89</f>
        <v>57.6</v>
      </c>
      <c r="AL89" s="211">
        <f>CE89</f>
        <v>58.4</v>
      </c>
      <c r="AM89" s="211">
        <f>CH89</f>
        <v>68.7</v>
      </c>
      <c r="AN89" s="211">
        <f>CJ89</f>
        <v>67.3</v>
      </c>
      <c r="AO89" s="211">
        <f t="shared" ref="AO89:AP93" si="211">CC89</f>
        <v>57.8</v>
      </c>
      <c r="AP89" s="211">
        <f t="shared" si="211"/>
        <v>64.599999999999994</v>
      </c>
      <c r="AQ89" s="211">
        <f>CK89</f>
        <v>71.2</v>
      </c>
      <c r="AR89" s="211">
        <f>CI89</f>
        <v>68.5</v>
      </c>
      <c r="AS89" s="214">
        <f>CG89</f>
        <v>70</v>
      </c>
      <c r="AT89" s="213">
        <v>69.599999999999994</v>
      </c>
      <c r="AU89" s="213">
        <v>72</v>
      </c>
      <c r="AV89" s="213">
        <v>64.900000000000006</v>
      </c>
      <c r="AW89" s="213">
        <v>59.2</v>
      </c>
      <c r="AX89" s="213">
        <v>72.099999999999994</v>
      </c>
      <c r="AY89" s="213">
        <v>58.4</v>
      </c>
      <c r="AZ89" s="211" t="s">
        <v>252</v>
      </c>
      <c r="BA89" s="213">
        <v>70.7</v>
      </c>
      <c r="BB89" s="213">
        <v>64.8</v>
      </c>
      <c r="BC89" s="213">
        <v>64.3</v>
      </c>
      <c r="BD89" s="213">
        <v>62.3</v>
      </c>
      <c r="BE89" s="213">
        <v>62.8</v>
      </c>
      <c r="BF89" s="212">
        <v>62.1</v>
      </c>
      <c r="BG89" s="211" t="s">
        <v>252</v>
      </c>
      <c r="BH89" s="211" t="s">
        <v>252</v>
      </c>
      <c r="BI89" s="213">
        <v>67</v>
      </c>
      <c r="BJ89" s="213">
        <v>59.8</v>
      </c>
      <c r="BK89" s="211" t="s">
        <v>252</v>
      </c>
      <c r="BL89" s="213" t="s">
        <v>252</v>
      </c>
      <c r="BM89" s="213">
        <v>60</v>
      </c>
      <c r="BN89" s="213">
        <v>66.7</v>
      </c>
      <c r="BO89" s="211" t="s">
        <v>252</v>
      </c>
      <c r="BP89" s="213">
        <v>61.7</v>
      </c>
      <c r="BQ89" s="213">
        <v>64.3</v>
      </c>
      <c r="BR89" s="212">
        <v>66.099999999999994</v>
      </c>
      <c r="BS89" s="211" t="s">
        <v>252</v>
      </c>
      <c r="BT89" s="213">
        <v>64</v>
      </c>
      <c r="BU89" s="213">
        <v>61.4</v>
      </c>
      <c r="BV89" s="213">
        <v>68.7</v>
      </c>
      <c r="BW89" s="213">
        <v>63.7</v>
      </c>
      <c r="BX89" s="213">
        <v>60</v>
      </c>
      <c r="BY89" s="213">
        <v>60.5</v>
      </c>
      <c r="BZ89" s="213">
        <v>65.3</v>
      </c>
      <c r="CA89" s="213">
        <v>63.6</v>
      </c>
      <c r="CB89" s="212">
        <v>57.6</v>
      </c>
      <c r="CC89" s="213">
        <v>57.8</v>
      </c>
      <c r="CD89" s="213">
        <v>64.599999999999994</v>
      </c>
      <c r="CE89" s="213">
        <v>58.4</v>
      </c>
      <c r="CF89" s="211" t="s">
        <v>252</v>
      </c>
      <c r="CG89" s="213">
        <v>70</v>
      </c>
      <c r="CH89" s="213">
        <v>68.7</v>
      </c>
      <c r="CI89" s="213">
        <v>68.5</v>
      </c>
      <c r="CJ89" s="213">
        <v>67.3</v>
      </c>
      <c r="CK89" s="214">
        <v>71.2</v>
      </c>
      <c r="CL89" s="215">
        <v>65.3</v>
      </c>
    </row>
    <row r="90" spans="1:90">
      <c r="A90" s="93">
        <f>ROWS($A$3:A88)</f>
        <v>86</v>
      </c>
      <c r="B90" s="297" t="s">
        <v>206</v>
      </c>
      <c r="C90" s="243"/>
      <c r="D90" s="314" t="s">
        <v>205</v>
      </c>
      <c r="E90" s="316">
        <v>40680</v>
      </c>
      <c r="F90" s="210">
        <v>681.6</v>
      </c>
      <c r="G90" s="213">
        <v>618</v>
      </c>
      <c r="H90" s="213">
        <v>614.6</v>
      </c>
      <c r="I90" s="214">
        <v>662.5</v>
      </c>
      <c r="J90" s="213"/>
      <c r="K90" s="210" t="str">
        <f>BF90</f>
        <v>*</v>
      </c>
      <c r="L90" s="211">
        <f>AY90</f>
        <v>678.5</v>
      </c>
      <c r="M90" s="211">
        <f>BD90</f>
        <v>615.79999999999995</v>
      </c>
      <c r="N90" s="211" t="str">
        <f>AW90</f>
        <v>*</v>
      </c>
      <c r="O90" s="211" t="str">
        <f>BE90</f>
        <v>*</v>
      </c>
      <c r="P90" s="211">
        <f>'2008'!BA90</f>
        <v>684.3</v>
      </c>
      <c r="Q90" s="211">
        <f>'2008'!AU90</f>
        <v>697.6</v>
      </c>
      <c r="R90" s="211">
        <f>AX90</f>
        <v>723.4</v>
      </c>
      <c r="S90" s="211" t="str">
        <f>AV90</f>
        <v>*</v>
      </c>
      <c r="T90" s="211">
        <f t="shared" si="210"/>
        <v>674.8</v>
      </c>
      <c r="U90" s="212">
        <f t="shared" si="210"/>
        <v>619.1</v>
      </c>
      <c r="V90" s="211" t="str">
        <f>BJ90</f>
        <v>*</v>
      </c>
      <c r="W90" s="211" t="str">
        <f>BR90</f>
        <v>*</v>
      </c>
      <c r="X90" s="211">
        <f>BI90</f>
        <v>590.6</v>
      </c>
      <c r="Y90" s="211">
        <f>BN90</f>
        <v>630.5</v>
      </c>
      <c r="Z90" s="211">
        <f>BM90</f>
        <v>646.9</v>
      </c>
      <c r="AA90" s="211" t="str">
        <f>BQ90</f>
        <v>*</v>
      </c>
      <c r="AB90" s="212" t="str">
        <f>BP90</f>
        <v>*</v>
      </c>
      <c r="AC90" s="211" t="str">
        <f>BX90</f>
        <v>*</v>
      </c>
      <c r="AD90" s="211" t="str">
        <f>BU90</f>
        <v>*</v>
      </c>
      <c r="AE90" s="211" t="str">
        <f>BT90</f>
        <v>*</v>
      </c>
      <c r="AF90" s="211" t="str">
        <f>CA90</f>
        <v>*</v>
      </c>
      <c r="AG90" s="211" t="str">
        <f>BV90</f>
        <v>*</v>
      </c>
      <c r="AH90" s="211" t="str">
        <f>BZ90</f>
        <v>*</v>
      </c>
      <c r="AI90" s="211" t="str">
        <f>BW90</f>
        <v>*</v>
      </c>
      <c r="AJ90" s="211" t="str">
        <f>BY90</f>
        <v>*</v>
      </c>
      <c r="AK90" s="212" t="str">
        <f>CB90</f>
        <v>*</v>
      </c>
      <c r="AL90" s="211" t="str">
        <f>CE90</f>
        <v>*</v>
      </c>
      <c r="AM90" s="211">
        <f>CH90</f>
        <v>680.2</v>
      </c>
      <c r="AN90" s="211" t="str">
        <f>CJ90</f>
        <v>*</v>
      </c>
      <c r="AO90" s="211" t="str">
        <f t="shared" si="211"/>
        <v>*</v>
      </c>
      <c r="AP90" s="211" t="str">
        <f t="shared" si="211"/>
        <v>*</v>
      </c>
      <c r="AQ90" s="211" t="str">
        <f>CK90</f>
        <v>*</v>
      </c>
      <c r="AR90" s="211" t="str">
        <f>CI90</f>
        <v>*</v>
      </c>
      <c r="AS90" s="214">
        <f>CG90</f>
        <v>678.7</v>
      </c>
      <c r="AT90" s="213">
        <v>627.70000000000005</v>
      </c>
      <c r="AU90" s="213">
        <v>697.6</v>
      </c>
      <c r="AV90" s="213" t="s">
        <v>252</v>
      </c>
      <c r="AW90" s="213" t="s">
        <v>252</v>
      </c>
      <c r="AX90" s="213">
        <v>723.4</v>
      </c>
      <c r="AY90" s="213">
        <v>678.5</v>
      </c>
      <c r="AZ90" s="211" t="s">
        <v>252</v>
      </c>
      <c r="BA90" s="213">
        <v>684.3</v>
      </c>
      <c r="BB90" s="213">
        <v>674.8</v>
      </c>
      <c r="BC90" s="213">
        <v>619.1</v>
      </c>
      <c r="BD90" s="213">
        <v>615.79999999999995</v>
      </c>
      <c r="BE90" s="211" t="s">
        <v>252</v>
      </c>
      <c r="BF90" s="212" t="s">
        <v>252</v>
      </c>
      <c r="BG90" s="211" t="s">
        <v>252</v>
      </c>
      <c r="BH90" s="211" t="s">
        <v>252</v>
      </c>
      <c r="BI90" s="213">
        <v>590.6</v>
      </c>
      <c r="BJ90" s="213" t="s">
        <v>252</v>
      </c>
      <c r="BK90" s="211" t="s">
        <v>252</v>
      </c>
      <c r="BL90" s="213" t="s">
        <v>252</v>
      </c>
      <c r="BM90" s="213">
        <v>646.9</v>
      </c>
      <c r="BN90" s="213">
        <v>630.5</v>
      </c>
      <c r="BO90" s="211" t="s">
        <v>252</v>
      </c>
      <c r="BP90" s="211" t="s">
        <v>252</v>
      </c>
      <c r="BQ90" s="211" t="s">
        <v>252</v>
      </c>
      <c r="BR90" s="212" t="s">
        <v>252</v>
      </c>
      <c r="BS90" s="211" t="s">
        <v>252</v>
      </c>
      <c r="BT90" s="213" t="s">
        <v>252</v>
      </c>
      <c r="BU90" s="213" t="s">
        <v>252</v>
      </c>
      <c r="BV90" s="213" t="s">
        <v>252</v>
      </c>
      <c r="BW90" s="213" t="s">
        <v>252</v>
      </c>
      <c r="BX90" s="213" t="s">
        <v>252</v>
      </c>
      <c r="BY90" s="213" t="s">
        <v>252</v>
      </c>
      <c r="BZ90" s="213" t="s">
        <v>252</v>
      </c>
      <c r="CA90" s="213" t="s">
        <v>252</v>
      </c>
      <c r="CB90" s="212" t="s">
        <v>252</v>
      </c>
      <c r="CC90" s="213" t="s">
        <v>252</v>
      </c>
      <c r="CD90" s="213" t="s">
        <v>252</v>
      </c>
      <c r="CE90" s="213" t="s">
        <v>252</v>
      </c>
      <c r="CF90" s="213" t="s">
        <v>252</v>
      </c>
      <c r="CG90" s="213">
        <v>678.7</v>
      </c>
      <c r="CH90" s="213">
        <v>680.2</v>
      </c>
      <c r="CI90" s="211" t="s">
        <v>252</v>
      </c>
      <c r="CJ90" s="213" t="s">
        <v>252</v>
      </c>
      <c r="CK90" s="214" t="s">
        <v>252</v>
      </c>
      <c r="CL90" s="229">
        <v>667.8</v>
      </c>
    </row>
    <row r="91" spans="1:90">
      <c r="A91" s="93">
        <f>ROWS($A$3:A89)</f>
        <v>87</v>
      </c>
      <c r="B91" s="297" t="s">
        <v>207</v>
      </c>
      <c r="C91" s="243"/>
      <c r="D91" s="314" t="s">
        <v>205</v>
      </c>
      <c r="E91" s="316">
        <v>40680</v>
      </c>
      <c r="F91" s="210">
        <v>37.1</v>
      </c>
      <c r="G91" s="211">
        <v>38.1</v>
      </c>
      <c r="H91" s="211">
        <v>38.1</v>
      </c>
      <c r="I91" s="214">
        <v>37.1</v>
      </c>
      <c r="J91" s="213"/>
      <c r="K91" s="210">
        <f>BF91</f>
        <v>38.299999999999997</v>
      </c>
      <c r="L91" s="211">
        <f>AY91</f>
        <v>37.799999999999997</v>
      </c>
      <c r="M91" s="211">
        <f>BD91</f>
        <v>36</v>
      </c>
      <c r="N91" s="211">
        <f>AW91</f>
        <v>30.4</v>
      </c>
      <c r="O91" s="211">
        <f>BE91</f>
        <v>37.299999999999997</v>
      </c>
      <c r="P91" s="211">
        <f>'2008'!BA91</f>
        <v>40.299999999999997</v>
      </c>
      <c r="Q91" s="211">
        <f>'2008'!AU91</f>
        <v>40.1</v>
      </c>
      <c r="R91" s="211">
        <f>AX91</f>
        <v>39</v>
      </c>
      <c r="S91" s="211">
        <f>AV91</f>
        <v>38.700000000000003</v>
      </c>
      <c r="T91" s="211">
        <f t="shared" si="210"/>
        <v>36.4</v>
      </c>
      <c r="U91" s="212">
        <f t="shared" si="210"/>
        <v>36.1</v>
      </c>
      <c r="V91" s="211">
        <f>BJ91</f>
        <v>38.6</v>
      </c>
      <c r="W91" s="211">
        <f>BR91</f>
        <v>37.5</v>
      </c>
      <c r="X91" s="211">
        <f>BI91</f>
        <v>43</v>
      </c>
      <c r="Y91" s="211">
        <f>BN91</f>
        <v>38.1</v>
      </c>
      <c r="Z91" s="211">
        <f>BM91</f>
        <v>35.6</v>
      </c>
      <c r="AA91" s="211">
        <f>BQ91</f>
        <v>38.799999999999997</v>
      </c>
      <c r="AB91" s="212">
        <f>BP91</f>
        <v>38.700000000000003</v>
      </c>
      <c r="AC91" s="211">
        <f>BX91</f>
        <v>43.1</v>
      </c>
      <c r="AD91" s="211" t="str">
        <f>BU91</f>
        <v>*</v>
      </c>
      <c r="AE91" s="211">
        <f>BT91</f>
        <v>37.4</v>
      </c>
      <c r="AF91" s="211" t="str">
        <f>CA91</f>
        <v>*</v>
      </c>
      <c r="AG91" s="211">
        <f>BV91</f>
        <v>36.700000000000003</v>
      </c>
      <c r="AH91" s="211">
        <f>BZ91</f>
        <v>36.5</v>
      </c>
      <c r="AI91" s="211">
        <f>BW91</f>
        <v>35.4</v>
      </c>
      <c r="AJ91" s="211">
        <f>BY91</f>
        <v>38.9</v>
      </c>
      <c r="AK91" s="212">
        <f>CB91</f>
        <v>37.9</v>
      </c>
      <c r="AL91" s="211">
        <f>CE91</f>
        <v>33.299999999999997</v>
      </c>
      <c r="AM91" s="211">
        <f>CH91</f>
        <v>36.5</v>
      </c>
      <c r="AN91" s="211">
        <f>CJ91</f>
        <v>37.5</v>
      </c>
      <c r="AO91" s="211">
        <f t="shared" si="211"/>
        <v>34</v>
      </c>
      <c r="AP91" s="211">
        <f t="shared" si="211"/>
        <v>40</v>
      </c>
      <c r="AQ91" s="211">
        <f>CK91</f>
        <v>37.5</v>
      </c>
      <c r="AR91" s="211">
        <f>CI91</f>
        <v>37.9</v>
      </c>
      <c r="AS91" s="214">
        <f>CG91</f>
        <v>37.5</v>
      </c>
      <c r="AT91" s="213" t="s">
        <v>252</v>
      </c>
      <c r="AU91" s="213">
        <v>40.1</v>
      </c>
      <c r="AV91" s="213">
        <v>38.700000000000003</v>
      </c>
      <c r="AW91" s="213">
        <v>30.4</v>
      </c>
      <c r="AX91" s="211">
        <v>39</v>
      </c>
      <c r="AY91" s="213">
        <v>37.799999999999997</v>
      </c>
      <c r="AZ91" s="211" t="s">
        <v>252</v>
      </c>
      <c r="BA91" s="213">
        <v>40.299999999999997</v>
      </c>
      <c r="BB91" s="213">
        <v>36.4</v>
      </c>
      <c r="BC91" s="213">
        <v>36.1</v>
      </c>
      <c r="BD91" s="213">
        <v>36</v>
      </c>
      <c r="BE91" s="213">
        <v>37.299999999999997</v>
      </c>
      <c r="BF91" s="212">
        <v>38.299999999999997</v>
      </c>
      <c r="BG91" s="211" t="s">
        <v>252</v>
      </c>
      <c r="BH91" s="211" t="s">
        <v>252</v>
      </c>
      <c r="BI91" s="213">
        <v>43</v>
      </c>
      <c r="BJ91" s="213">
        <v>38.6</v>
      </c>
      <c r="BK91" s="211" t="s">
        <v>252</v>
      </c>
      <c r="BL91" s="213" t="s">
        <v>252</v>
      </c>
      <c r="BM91" s="211">
        <v>35.6</v>
      </c>
      <c r="BN91" s="211">
        <v>38.1</v>
      </c>
      <c r="BO91" s="211" t="s">
        <v>252</v>
      </c>
      <c r="BP91" s="213">
        <v>38.700000000000003</v>
      </c>
      <c r="BQ91" s="211">
        <v>38.799999999999997</v>
      </c>
      <c r="BR91" s="212">
        <v>37.5</v>
      </c>
      <c r="BS91" s="211" t="s">
        <v>252</v>
      </c>
      <c r="BT91" s="213">
        <v>37.4</v>
      </c>
      <c r="BU91" s="211" t="s">
        <v>252</v>
      </c>
      <c r="BV91" s="213">
        <v>36.700000000000003</v>
      </c>
      <c r="BW91" s="213">
        <v>35.4</v>
      </c>
      <c r="BX91" s="213">
        <v>43.1</v>
      </c>
      <c r="BY91" s="213">
        <v>38.9</v>
      </c>
      <c r="BZ91" s="213">
        <v>36.5</v>
      </c>
      <c r="CA91" s="211" t="s">
        <v>252</v>
      </c>
      <c r="CB91" s="212">
        <v>37.9</v>
      </c>
      <c r="CC91" s="213">
        <v>34</v>
      </c>
      <c r="CD91" s="213">
        <v>40</v>
      </c>
      <c r="CE91" s="213">
        <v>33.299999999999997</v>
      </c>
      <c r="CF91" s="211" t="s">
        <v>252</v>
      </c>
      <c r="CG91" s="213">
        <v>37.5</v>
      </c>
      <c r="CH91" s="213">
        <v>36.5</v>
      </c>
      <c r="CI91" s="213">
        <v>37.9</v>
      </c>
      <c r="CJ91" s="213">
        <v>37.5</v>
      </c>
      <c r="CK91" s="214">
        <v>37.5</v>
      </c>
      <c r="CL91" s="229">
        <v>37.4</v>
      </c>
    </row>
    <row r="92" spans="1:90">
      <c r="A92" s="93">
        <f>ROWS($A$3:A90)</f>
        <v>88</v>
      </c>
      <c r="B92" s="297" t="s">
        <v>208</v>
      </c>
      <c r="C92" s="243"/>
      <c r="D92" s="314" t="s">
        <v>205</v>
      </c>
      <c r="E92" s="316">
        <v>40680</v>
      </c>
      <c r="F92" s="210">
        <v>484</v>
      </c>
      <c r="G92" s="213">
        <v>477.5</v>
      </c>
      <c r="H92" s="213">
        <v>465.5</v>
      </c>
      <c r="I92" s="214">
        <v>479.7</v>
      </c>
      <c r="J92" s="213"/>
      <c r="K92" s="210">
        <f>BF92</f>
        <v>495</v>
      </c>
      <c r="L92" s="211">
        <f>AY92</f>
        <v>449.1</v>
      </c>
      <c r="M92" s="211">
        <f>BD92</f>
        <v>452</v>
      </c>
      <c r="N92" s="211">
        <f>AW92</f>
        <v>535.29999999999995</v>
      </c>
      <c r="O92" s="211">
        <f>BE92</f>
        <v>491.5</v>
      </c>
      <c r="P92" s="211">
        <f>'2008'!BA92</f>
        <v>517.5</v>
      </c>
      <c r="Q92" s="211">
        <f>'2008'!AU92</f>
        <v>480.8</v>
      </c>
      <c r="R92" s="211">
        <f>AX92</f>
        <v>522.1</v>
      </c>
      <c r="S92" s="211">
        <f>AV92</f>
        <v>502.2</v>
      </c>
      <c r="T92" s="211">
        <f t="shared" si="210"/>
        <v>466.9</v>
      </c>
      <c r="U92" s="212">
        <f t="shared" si="210"/>
        <v>448.9</v>
      </c>
      <c r="V92" s="211">
        <f>BJ92</f>
        <v>471.4</v>
      </c>
      <c r="W92" s="211">
        <f>BR92</f>
        <v>526.20000000000005</v>
      </c>
      <c r="X92" s="211">
        <f>BI92</f>
        <v>449.6</v>
      </c>
      <c r="Y92" s="211">
        <f>BN92</f>
        <v>469.3</v>
      </c>
      <c r="Z92" s="211">
        <f>BM92</f>
        <v>469.6</v>
      </c>
      <c r="AA92" s="211">
        <f>BQ92</f>
        <v>489</v>
      </c>
      <c r="AB92" s="212">
        <f>BP92</f>
        <v>482</v>
      </c>
      <c r="AC92" s="211">
        <f>BX92</f>
        <v>476.8</v>
      </c>
      <c r="AD92" s="211">
        <f>BU92</f>
        <v>473.7</v>
      </c>
      <c r="AE92" s="211">
        <f>BT92</f>
        <v>449.3</v>
      </c>
      <c r="AF92" s="211">
        <f>CA92</f>
        <v>481.6</v>
      </c>
      <c r="AG92" s="211">
        <f>BV92</f>
        <v>470.8</v>
      </c>
      <c r="AH92" s="211">
        <f>BZ92</f>
        <v>477.6</v>
      </c>
      <c r="AI92" s="211">
        <f>BW92</f>
        <v>456.5</v>
      </c>
      <c r="AJ92" s="211">
        <f>BY92</f>
        <v>463.7</v>
      </c>
      <c r="AK92" s="212">
        <f>CB92</f>
        <v>443.2</v>
      </c>
      <c r="AL92" s="211">
        <f>CE92</f>
        <v>444.9</v>
      </c>
      <c r="AM92" s="211">
        <f>CH92</f>
        <v>503.5</v>
      </c>
      <c r="AN92" s="211">
        <f>CJ92</f>
        <v>452.7</v>
      </c>
      <c r="AO92" s="211">
        <f t="shared" si="211"/>
        <v>419</v>
      </c>
      <c r="AP92" s="211">
        <f t="shared" si="211"/>
        <v>494.4</v>
      </c>
      <c r="AQ92" s="211">
        <f>CK92</f>
        <v>485.1</v>
      </c>
      <c r="AR92" s="211">
        <f>CI92</f>
        <v>468.6</v>
      </c>
      <c r="AS92" s="214">
        <f>CG92</f>
        <v>502.9</v>
      </c>
      <c r="AT92" s="213" t="s">
        <v>252</v>
      </c>
      <c r="AU92" s="213">
        <v>480.8</v>
      </c>
      <c r="AV92" s="213">
        <v>502.2</v>
      </c>
      <c r="AW92" s="213">
        <v>535.29999999999995</v>
      </c>
      <c r="AX92" s="213">
        <v>522.1</v>
      </c>
      <c r="AY92" s="213">
        <v>449.1</v>
      </c>
      <c r="AZ92" s="211" t="s">
        <v>252</v>
      </c>
      <c r="BA92" s="213">
        <v>517.5</v>
      </c>
      <c r="BB92" s="213">
        <v>466.9</v>
      </c>
      <c r="BC92" s="213">
        <v>448.9</v>
      </c>
      <c r="BD92" s="213">
        <v>452</v>
      </c>
      <c r="BE92" s="213">
        <v>491.5</v>
      </c>
      <c r="BF92" s="212">
        <v>495</v>
      </c>
      <c r="BG92" s="211" t="s">
        <v>252</v>
      </c>
      <c r="BH92" s="211" t="s">
        <v>252</v>
      </c>
      <c r="BI92" s="213">
        <v>449.6</v>
      </c>
      <c r="BJ92" s="213">
        <v>471.4</v>
      </c>
      <c r="BK92" s="211" t="s">
        <v>252</v>
      </c>
      <c r="BL92" s="213" t="s">
        <v>252</v>
      </c>
      <c r="BM92" s="213">
        <v>469.6</v>
      </c>
      <c r="BN92" s="213">
        <v>469.3</v>
      </c>
      <c r="BO92" s="211" t="s">
        <v>252</v>
      </c>
      <c r="BP92" s="213">
        <v>482</v>
      </c>
      <c r="BQ92" s="213">
        <v>489</v>
      </c>
      <c r="BR92" s="212">
        <v>526.20000000000005</v>
      </c>
      <c r="BS92" s="211" t="s">
        <v>252</v>
      </c>
      <c r="BT92" s="213">
        <v>449.3</v>
      </c>
      <c r="BU92" s="211">
        <v>473.7</v>
      </c>
      <c r="BV92" s="213">
        <v>470.8</v>
      </c>
      <c r="BW92" s="213">
        <v>456.5</v>
      </c>
      <c r="BX92" s="213">
        <v>476.8</v>
      </c>
      <c r="BY92" s="213">
        <v>463.7</v>
      </c>
      <c r="BZ92" s="213">
        <v>477.6</v>
      </c>
      <c r="CA92" s="213">
        <v>481.6</v>
      </c>
      <c r="CB92" s="212">
        <v>443.2</v>
      </c>
      <c r="CC92" s="213">
        <v>419</v>
      </c>
      <c r="CD92" s="213">
        <v>494.4</v>
      </c>
      <c r="CE92" s="213">
        <v>444.9</v>
      </c>
      <c r="CF92" s="211" t="s">
        <v>252</v>
      </c>
      <c r="CG92" s="213">
        <v>502.9</v>
      </c>
      <c r="CH92" s="213">
        <v>503.5</v>
      </c>
      <c r="CI92" s="213">
        <v>468.6</v>
      </c>
      <c r="CJ92" s="213">
        <v>452.7</v>
      </c>
      <c r="CK92" s="214">
        <v>485.1</v>
      </c>
      <c r="CL92" s="229">
        <v>478.4</v>
      </c>
    </row>
    <row r="93" spans="1:90">
      <c r="A93" s="93">
        <f>ROWS($A$3:A91)</f>
        <v>89</v>
      </c>
      <c r="B93" s="237" t="s">
        <v>105</v>
      </c>
      <c r="C93" s="340"/>
      <c r="D93" s="335" t="s">
        <v>4</v>
      </c>
      <c r="E93" s="336"/>
      <c r="F93" s="156">
        <v>60</v>
      </c>
      <c r="G93" s="177">
        <v>37</v>
      </c>
      <c r="H93" s="177">
        <v>69</v>
      </c>
      <c r="I93" s="178">
        <v>54</v>
      </c>
      <c r="J93" s="181"/>
      <c r="K93" s="156">
        <f>BF93</f>
        <v>97</v>
      </c>
      <c r="L93" s="177">
        <f>AY93</f>
        <v>64</v>
      </c>
      <c r="M93" s="177">
        <f>BD93</f>
        <v>66</v>
      </c>
      <c r="N93" s="177">
        <f>AW93</f>
        <v>75</v>
      </c>
      <c r="O93" s="177">
        <f>BE93</f>
        <v>52</v>
      </c>
      <c r="P93" s="183">
        <f>(AZ35*AZ93+BA35*BA93)/P35</f>
        <v>7.432921350219555</v>
      </c>
      <c r="Q93" s="177">
        <f>'2008'!AU93</f>
        <v>51</v>
      </c>
      <c r="R93" s="183">
        <f>(AT35*AT93+AX35*AX93)/R35</f>
        <v>0</v>
      </c>
      <c r="S93" s="177">
        <f>AV93</f>
        <v>59</v>
      </c>
      <c r="T93" s="177">
        <f t="shared" si="210"/>
        <v>51</v>
      </c>
      <c r="U93" s="179">
        <f t="shared" si="210"/>
        <v>93</v>
      </c>
      <c r="V93" s="183">
        <f>(BG35*BG93+BJ35*BJ93)/V35</f>
        <v>17.984657039711191</v>
      </c>
      <c r="W93" s="177">
        <f>BR93</f>
        <v>82</v>
      </c>
      <c r="X93" s="183">
        <f>(BH35*BH93+BI35*BI93)/X35</f>
        <v>3.736710631494804</v>
      </c>
      <c r="Y93" s="183">
        <f>(BK35*BK93+BL35*BL93+BN35*BN93)/Y35</f>
        <v>6.2961604531315292</v>
      </c>
      <c r="Z93" s="177">
        <f>BM93</f>
        <v>65</v>
      </c>
      <c r="AA93" s="183">
        <f>(BO35*BO93+BQ35*BQ93)/AA35</f>
        <v>41.917907484613856</v>
      </c>
      <c r="AB93" s="179">
        <f>BP93</f>
        <v>74</v>
      </c>
      <c r="AC93" s="177">
        <f>BX93</f>
        <v>96</v>
      </c>
      <c r="AD93" s="177">
        <f>BU93</f>
        <v>46</v>
      </c>
      <c r="AE93" s="183">
        <f>(BS35*BS93+BT35*BT93)/AE35</f>
        <v>48.061084445777709</v>
      </c>
      <c r="AF93" s="177">
        <f>CA93</f>
        <v>57</v>
      </c>
      <c r="AG93" s="177">
        <f>BV93</f>
        <v>38</v>
      </c>
      <c r="AH93" s="177">
        <f>BZ93</f>
        <v>59</v>
      </c>
      <c r="AI93" s="177">
        <f>BW93</f>
        <v>100</v>
      </c>
      <c r="AJ93" s="177">
        <f>BY93</f>
        <v>100</v>
      </c>
      <c r="AK93" s="179">
        <f>CB93</f>
        <v>100</v>
      </c>
      <c r="AL93" s="177">
        <f>CE93</f>
        <v>98</v>
      </c>
      <c r="AM93" s="177">
        <f>CH93</f>
        <v>15</v>
      </c>
      <c r="AN93" s="177">
        <f>CJ93</f>
        <v>58</v>
      </c>
      <c r="AO93" s="177">
        <f t="shared" si="211"/>
        <v>98</v>
      </c>
      <c r="AP93" s="177">
        <f t="shared" si="211"/>
        <v>53</v>
      </c>
      <c r="AQ93" s="177">
        <f>CK93</f>
        <v>73</v>
      </c>
      <c r="AR93" s="177">
        <f>CI93</f>
        <v>26</v>
      </c>
      <c r="AS93" s="184">
        <f>(CF35*CF93+CG35*CG93)/AS35</f>
        <v>41.794570598431285</v>
      </c>
      <c r="AT93" s="181">
        <v>0</v>
      </c>
      <c r="AU93" s="181">
        <v>51</v>
      </c>
      <c r="AV93" s="181">
        <v>59</v>
      </c>
      <c r="AW93" s="181">
        <v>75</v>
      </c>
      <c r="AX93" s="177">
        <v>0</v>
      </c>
      <c r="AY93" s="177">
        <v>64</v>
      </c>
      <c r="AZ93" s="177">
        <v>0</v>
      </c>
      <c r="BA93" s="177">
        <v>8</v>
      </c>
      <c r="BB93" s="177">
        <v>51</v>
      </c>
      <c r="BC93" s="177">
        <v>93</v>
      </c>
      <c r="BD93" s="177">
        <v>66</v>
      </c>
      <c r="BE93" s="177">
        <v>52</v>
      </c>
      <c r="BF93" s="179">
        <v>97</v>
      </c>
      <c r="BG93" s="177">
        <v>69</v>
      </c>
      <c r="BH93" s="177">
        <v>0</v>
      </c>
      <c r="BI93" s="177">
        <v>4</v>
      </c>
      <c r="BJ93" s="177">
        <v>12</v>
      </c>
      <c r="BK93" s="177">
        <v>1</v>
      </c>
      <c r="BL93" s="177">
        <v>0</v>
      </c>
      <c r="BM93" s="177">
        <v>65</v>
      </c>
      <c r="BN93" s="177">
        <v>7</v>
      </c>
      <c r="BO93" s="177">
        <v>21</v>
      </c>
      <c r="BP93" s="177">
        <v>74</v>
      </c>
      <c r="BQ93" s="177">
        <v>43</v>
      </c>
      <c r="BR93" s="179">
        <v>82</v>
      </c>
      <c r="BS93" s="177">
        <v>21</v>
      </c>
      <c r="BT93" s="177">
        <v>50</v>
      </c>
      <c r="BU93" s="177">
        <v>46</v>
      </c>
      <c r="BV93" s="177">
        <v>38</v>
      </c>
      <c r="BW93" s="177">
        <v>100</v>
      </c>
      <c r="BX93" s="177">
        <v>96</v>
      </c>
      <c r="BY93" s="177">
        <v>100</v>
      </c>
      <c r="BZ93" s="177">
        <v>59</v>
      </c>
      <c r="CA93" s="177">
        <v>57</v>
      </c>
      <c r="CB93" s="179">
        <v>100</v>
      </c>
      <c r="CC93" s="177">
        <v>98</v>
      </c>
      <c r="CD93" s="177">
        <v>53</v>
      </c>
      <c r="CE93" s="177">
        <v>98</v>
      </c>
      <c r="CF93" s="177">
        <v>7</v>
      </c>
      <c r="CG93" s="177">
        <v>44</v>
      </c>
      <c r="CH93" s="177">
        <v>15</v>
      </c>
      <c r="CI93" s="177">
        <v>26</v>
      </c>
      <c r="CJ93" s="177">
        <v>58</v>
      </c>
      <c r="CK93" s="178">
        <v>73</v>
      </c>
      <c r="CL93" s="180">
        <v>57</v>
      </c>
    </row>
    <row r="94" spans="1:90">
      <c r="A94" s="93">
        <f>ROWS($A$3:A92)</f>
        <v>90</v>
      </c>
      <c r="B94" s="67" t="s">
        <v>266</v>
      </c>
      <c r="C94" s="243"/>
      <c r="D94" s="314"/>
      <c r="E94" s="337"/>
      <c r="F94" s="156"/>
      <c r="G94" s="177"/>
      <c r="H94" s="177"/>
      <c r="I94" s="178"/>
      <c r="J94" s="181"/>
      <c r="K94" s="156">
        <f t="shared" ref="K94:AS94" si="212">$C$95</f>
        <v>2008</v>
      </c>
      <c r="L94" s="177">
        <f t="shared" si="212"/>
        <v>2008</v>
      </c>
      <c r="M94" s="177">
        <f t="shared" si="212"/>
        <v>2008</v>
      </c>
      <c r="N94" s="177">
        <f t="shared" si="212"/>
        <v>2008</v>
      </c>
      <c r="O94" s="177">
        <f t="shared" si="212"/>
        <v>2008</v>
      </c>
      <c r="P94" s="177">
        <f t="shared" si="212"/>
        <v>2008</v>
      </c>
      <c r="Q94" s="177">
        <f t="shared" si="212"/>
        <v>2008</v>
      </c>
      <c r="R94" s="177">
        <f t="shared" si="212"/>
        <v>2008</v>
      </c>
      <c r="S94" s="177">
        <f t="shared" si="212"/>
        <v>2008</v>
      </c>
      <c r="T94" s="177">
        <f t="shared" si="212"/>
        <v>2008</v>
      </c>
      <c r="U94" s="179">
        <f t="shared" si="212"/>
        <v>2008</v>
      </c>
      <c r="V94" s="177">
        <f t="shared" si="212"/>
        <v>2008</v>
      </c>
      <c r="W94" s="177">
        <f t="shared" si="212"/>
        <v>2008</v>
      </c>
      <c r="X94" s="177">
        <f t="shared" si="212"/>
        <v>2008</v>
      </c>
      <c r="Y94" s="177">
        <f t="shared" si="212"/>
        <v>2008</v>
      </c>
      <c r="Z94" s="177">
        <f t="shared" si="212"/>
        <v>2008</v>
      </c>
      <c r="AA94" s="177">
        <f t="shared" si="212"/>
        <v>2008</v>
      </c>
      <c r="AB94" s="179">
        <f t="shared" si="212"/>
        <v>2008</v>
      </c>
      <c r="AC94" s="177">
        <f t="shared" si="212"/>
        <v>2008</v>
      </c>
      <c r="AD94" s="177">
        <f t="shared" si="212"/>
        <v>2008</v>
      </c>
      <c r="AE94" s="177">
        <f t="shared" si="212"/>
        <v>2008</v>
      </c>
      <c r="AF94" s="177">
        <f t="shared" si="212"/>
        <v>2008</v>
      </c>
      <c r="AG94" s="177">
        <f t="shared" si="212"/>
        <v>2008</v>
      </c>
      <c r="AH94" s="177">
        <f t="shared" si="212"/>
        <v>2008</v>
      </c>
      <c r="AI94" s="177">
        <f t="shared" si="212"/>
        <v>2008</v>
      </c>
      <c r="AJ94" s="177">
        <f t="shared" si="212"/>
        <v>2008</v>
      </c>
      <c r="AK94" s="179">
        <f t="shared" si="212"/>
        <v>2008</v>
      </c>
      <c r="AL94" s="177">
        <f t="shared" si="212"/>
        <v>2008</v>
      </c>
      <c r="AM94" s="177">
        <f t="shared" si="212"/>
        <v>2008</v>
      </c>
      <c r="AN94" s="177">
        <f t="shared" si="212"/>
        <v>2008</v>
      </c>
      <c r="AO94" s="177">
        <f t="shared" si="212"/>
        <v>2008</v>
      </c>
      <c r="AP94" s="177">
        <f t="shared" si="212"/>
        <v>2008</v>
      </c>
      <c r="AQ94" s="177">
        <f t="shared" si="212"/>
        <v>2008</v>
      </c>
      <c r="AR94" s="177">
        <f t="shared" si="212"/>
        <v>2008</v>
      </c>
      <c r="AS94" s="178">
        <f t="shared" si="212"/>
        <v>2008</v>
      </c>
      <c r="AT94" s="298">
        <v>2006</v>
      </c>
      <c r="AU94" s="298">
        <f t="shared" ref="AU94:CL94" si="213">$C$95</f>
        <v>2008</v>
      </c>
      <c r="AV94" s="298">
        <f t="shared" si="213"/>
        <v>2008</v>
      </c>
      <c r="AW94" s="298">
        <f t="shared" si="213"/>
        <v>2008</v>
      </c>
      <c r="AX94" s="298">
        <f t="shared" si="213"/>
        <v>2008</v>
      </c>
      <c r="AY94" s="298">
        <f t="shared" si="213"/>
        <v>2008</v>
      </c>
      <c r="AZ94" s="298">
        <f t="shared" si="213"/>
        <v>2008</v>
      </c>
      <c r="BA94" s="298">
        <f t="shared" si="213"/>
        <v>2008</v>
      </c>
      <c r="BB94" s="298">
        <f t="shared" si="213"/>
        <v>2008</v>
      </c>
      <c r="BC94" s="298">
        <f t="shared" si="213"/>
        <v>2008</v>
      </c>
      <c r="BD94" s="298">
        <f t="shared" si="213"/>
        <v>2008</v>
      </c>
      <c r="BE94" s="298">
        <f t="shared" si="213"/>
        <v>2008</v>
      </c>
      <c r="BF94" s="299">
        <f t="shared" si="213"/>
        <v>2008</v>
      </c>
      <c r="BG94" s="298">
        <f t="shared" si="213"/>
        <v>2008</v>
      </c>
      <c r="BH94" s="298">
        <f t="shared" si="213"/>
        <v>2008</v>
      </c>
      <c r="BI94" s="298">
        <f t="shared" si="213"/>
        <v>2008</v>
      </c>
      <c r="BJ94" s="298">
        <f t="shared" si="213"/>
        <v>2008</v>
      </c>
      <c r="BK94" s="298">
        <f t="shared" si="213"/>
        <v>2008</v>
      </c>
      <c r="BL94" s="298">
        <f t="shared" si="213"/>
        <v>2008</v>
      </c>
      <c r="BM94" s="298">
        <f t="shared" si="213"/>
        <v>2008</v>
      </c>
      <c r="BN94" s="298">
        <f t="shared" si="213"/>
        <v>2008</v>
      </c>
      <c r="BO94" s="298">
        <f t="shared" si="213"/>
        <v>2008</v>
      </c>
      <c r="BP94" s="298">
        <f t="shared" si="213"/>
        <v>2008</v>
      </c>
      <c r="BQ94" s="298">
        <f t="shared" si="213"/>
        <v>2008</v>
      </c>
      <c r="BR94" s="299">
        <f t="shared" si="213"/>
        <v>2008</v>
      </c>
      <c r="BS94" s="298">
        <f t="shared" si="213"/>
        <v>2008</v>
      </c>
      <c r="BT94" s="298">
        <f t="shared" si="213"/>
        <v>2008</v>
      </c>
      <c r="BU94" s="298">
        <f t="shared" si="213"/>
        <v>2008</v>
      </c>
      <c r="BV94" s="298">
        <f t="shared" si="213"/>
        <v>2008</v>
      </c>
      <c r="BW94" s="298">
        <f t="shared" si="213"/>
        <v>2008</v>
      </c>
      <c r="BX94" s="298">
        <f t="shared" si="213"/>
        <v>2008</v>
      </c>
      <c r="BY94" s="298">
        <f t="shared" si="213"/>
        <v>2008</v>
      </c>
      <c r="BZ94" s="298">
        <f t="shared" si="213"/>
        <v>2008</v>
      </c>
      <c r="CA94" s="298">
        <f t="shared" si="213"/>
        <v>2008</v>
      </c>
      <c r="CB94" s="299">
        <f t="shared" si="213"/>
        <v>2008</v>
      </c>
      <c r="CC94" s="298">
        <f t="shared" si="213"/>
        <v>2008</v>
      </c>
      <c r="CD94" s="298">
        <f t="shared" si="213"/>
        <v>2008</v>
      </c>
      <c r="CE94" s="298">
        <f t="shared" si="213"/>
        <v>2008</v>
      </c>
      <c r="CF94" s="298">
        <f t="shared" si="213"/>
        <v>2008</v>
      </c>
      <c r="CG94" s="298">
        <f t="shared" si="213"/>
        <v>2008</v>
      </c>
      <c r="CH94" s="298">
        <f t="shared" si="213"/>
        <v>2008</v>
      </c>
      <c r="CI94" s="298">
        <f t="shared" si="213"/>
        <v>2008</v>
      </c>
      <c r="CJ94" s="298">
        <f t="shared" si="213"/>
        <v>2008</v>
      </c>
      <c r="CK94" s="300">
        <f t="shared" si="213"/>
        <v>2008</v>
      </c>
      <c r="CL94" s="301">
        <f t="shared" si="213"/>
        <v>2008</v>
      </c>
    </row>
    <row r="95" spans="1:90">
      <c r="A95" s="93">
        <f>ROWS($A$3:A93)</f>
        <v>91</v>
      </c>
      <c r="B95" s="297" t="s">
        <v>82</v>
      </c>
      <c r="C95" s="242">
        <v>2008</v>
      </c>
      <c r="D95" s="314" t="s">
        <v>14</v>
      </c>
      <c r="E95" s="316">
        <v>40680</v>
      </c>
      <c r="F95" s="156">
        <v>104232</v>
      </c>
      <c r="G95" s="177">
        <v>25196</v>
      </c>
      <c r="H95" s="177">
        <v>69318</v>
      </c>
      <c r="I95" s="178">
        <v>162586</v>
      </c>
      <c r="J95" s="181"/>
      <c r="K95" s="156">
        <f>BF95</f>
        <v>25240</v>
      </c>
      <c r="L95" s="177">
        <f>AY95</f>
        <v>7146</v>
      </c>
      <c r="M95" s="177">
        <f>BD95</f>
        <v>7653</v>
      </c>
      <c r="N95" s="177">
        <f>AW95</f>
        <v>10524</v>
      </c>
      <c r="O95" s="177">
        <f>BE95</f>
        <v>7901</v>
      </c>
      <c r="P95" s="177">
        <f>AZ95+BA95</f>
        <v>5183</v>
      </c>
      <c r="Q95" s="177">
        <f>'2008'!AU95</f>
        <v>3047</v>
      </c>
      <c r="R95" s="177">
        <f>AX95+AT95</f>
        <v>5181</v>
      </c>
      <c r="S95" s="177">
        <f>AV95</f>
        <v>2894</v>
      </c>
      <c r="T95" s="177">
        <f t="shared" ref="T95:U99" si="214">BB95</f>
        <v>7525</v>
      </c>
      <c r="U95" s="179">
        <f t="shared" si="214"/>
        <v>21941</v>
      </c>
      <c r="V95" s="177">
        <f>BG95+BJ95</f>
        <v>494</v>
      </c>
      <c r="W95" s="177">
        <f>BR95</f>
        <v>4006</v>
      </c>
      <c r="X95" s="177">
        <f>BH95+BI95</f>
        <v>1561</v>
      </c>
      <c r="Y95" s="177">
        <f>BK95+BL95+BN95</f>
        <v>4169</v>
      </c>
      <c r="Z95" s="177">
        <f>BM95</f>
        <v>8366</v>
      </c>
      <c r="AA95" s="177">
        <f>BO95+BQ95</f>
        <v>2915</v>
      </c>
      <c r="AB95" s="179">
        <f>BP95</f>
        <v>3685</v>
      </c>
      <c r="AC95" s="177">
        <f>BX95</f>
        <v>12022</v>
      </c>
      <c r="AD95" s="177">
        <f>BU95</f>
        <v>3827</v>
      </c>
      <c r="AE95" s="177">
        <f>BT95</f>
        <v>10510</v>
      </c>
      <c r="AF95" s="177">
        <f>CA95</f>
        <v>3991</v>
      </c>
      <c r="AG95" s="177">
        <f>BV95</f>
        <v>9030</v>
      </c>
      <c r="AH95" s="177">
        <f>BZ95</f>
        <v>9076</v>
      </c>
      <c r="AI95" s="177">
        <f>BW95</f>
        <v>5553</v>
      </c>
      <c r="AJ95" s="177">
        <f>BY95</f>
        <v>5132</v>
      </c>
      <c r="AK95" s="179">
        <f>CB95</f>
        <v>10178</v>
      </c>
      <c r="AL95" s="177">
        <f>CE95</f>
        <v>3178</v>
      </c>
      <c r="AM95" s="177">
        <f>CH95</f>
        <v>35255</v>
      </c>
      <c r="AN95" s="177">
        <f>CJ95</f>
        <v>69212</v>
      </c>
      <c r="AO95" s="177">
        <f t="shared" ref="AO95:AP99" si="215">CC95</f>
        <v>8763</v>
      </c>
      <c r="AP95" s="177">
        <f t="shared" si="215"/>
        <v>1789</v>
      </c>
      <c r="AQ95" s="177">
        <f>CK95</f>
        <v>13497</v>
      </c>
      <c r="AR95" s="177">
        <f>CI95</f>
        <v>11150</v>
      </c>
      <c r="AS95" s="178">
        <f>CF95+CG95</f>
        <v>19743</v>
      </c>
      <c r="AT95" s="181">
        <v>417</v>
      </c>
      <c r="AU95" s="181">
        <v>3047</v>
      </c>
      <c r="AV95" s="181">
        <v>2894</v>
      </c>
      <c r="AW95" s="181">
        <v>10524</v>
      </c>
      <c r="AX95" s="177">
        <v>4764</v>
      </c>
      <c r="AY95" s="177">
        <v>7146</v>
      </c>
      <c r="AZ95" s="177">
        <v>151</v>
      </c>
      <c r="BA95" s="177">
        <v>5032</v>
      </c>
      <c r="BB95" s="177">
        <v>7525</v>
      </c>
      <c r="BC95" s="177">
        <v>21941</v>
      </c>
      <c r="BD95" s="177">
        <v>7653</v>
      </c>
      <c r="BE95" s="177">
        <v>7901</v>
      </c>
      <c r="BF95" s="179">
        <v>25240</v>
      </c>
      <c r="BG95" s="177">
        <v>0</v>
      </c>
      <c r="BH95" s="177">
        <v>89</v>
      </c>
      <c r="BI95" s="177">
        <v>1472</v>
      </c>
      <c r="BJ95" s="177">
        <v>494</v>
      </c>
      <c r="BK95" s="177">
        <v>205</v>
      </c>
      <c r="BL95" s="177">
        <v>16</v>
      </c>
      <c r="BM95" s="177">
        <v>8366</v>
      </c>
      <c r="BN95" s="177">
        <v>3948</v>
      </c>
      <c r="BO95" s="177">
        <v>78</v>
      </c>
      <c r="BP95" s="177">
        <v>3685</v>
      </c>
      <c r="BQ95" s="177">
        <v>2837</v>
      </c>
      <c r="BR95" s="179">
        <v>4006</v>
      </c>
      <c r="BS95" s="177">
        <v>0</v>
      </c>
      <c r="BT95" s="177">
        <v>10510</v>
      </c>
      <c r="BU95" s="177">
        <v>3827</v>
      </c>
      <c r="BV95" s="177">
        <v>9030</v>
      </c>
      <c r="BW95" s="177">
        <v>5553</v>
      </c>
      <c r="BX95" s="177">
        <v>12022</v>
      </c>
      <c r="BY95" s="177">
        <v>5132</v>
      </c>
      <c r="BZ95" s="177">
        <v>9076</v>
      </c>
      <c r="CA95" s="177">
        <v>3991</v>
      </c>
      <c r="CB95" s="179">
        <v>10178</v>
      </c>
      <c r="CC95" s="177">
        <v>8763</v>
      </c>
      <c r="CD95" s="177">
        <v>1789</v>
      </c>
      <c r="CE95" s="177">
        <v>3178</v>
      </c>
      <c r="CF95" s="177">
        <v>847</v>
      </c>
      <c r="CG95" s="177">
        <v>18896</v>
      </c>
      <c r="CH95" s="177">
        <v>35255</v>
      </c>
      <c r="CI95" s="177">
        <v>11150</v>
      </c>
      <c r="CJ95" s="177">
        <v>69212</v>
      </c>
      <c r="CK95" s="178">
        <v>13497</v>
      </c>
      <c r="CL95" s="163">
        <v>361332</v>
      </c>
    </row>
    <row r="96" spans="1:90">
      <c r="A96" s="93">
        <f>ROWS($A$3:A94)</f>
        <v>92</v>
      </c>
      <c r="B96" s="297" t="s">
        <v>106</v>
      </c>
      <c r="C96" s="243">
        <f>C95</f>
        <v>2008</v>
      </c>
      <c r="D96" s="314" t="s">
        <v>11</v>
      </c>
      <c r="E96" s="316">
        <v>40680</v>
      </c>
      <c r="F96" s="156">
        <v>645090</v>
      </c>
      <c r="G96" s="177">
        <v>146126</v>
      </c>
      <c r="H96" s="177">
        <v>380080</v>
      </c>
      <c r="I96" s="178">
        <v>1026213</v>
      </c>
      <c r="J96" s="181"/>
      <c r="K96" s="156">
        <f>BF96</f>
        <v>165245</v>
      </c>
      <c r="L96" s="177">
        <f>AY96</f>
        <v>43879</v>
      </c>
      <c r="M96" s="177">
        <f>BD96</f>
        <v>46454</v>
      </c>
      <c r="N96" s="177">
        <f>AW96</f>
        <v>59369</v>
      </c>
      <c r="O96" s="177">
        <f>BE96</f>
        <v>46862</v>
      </c>
      <c r="P96" s="177">
        <f>AZ96+BA96</f>
        <v>30771</v>
      </c>
      <c r="Q96" s="177">
        <f>'2008'!AU96</f>
        <v>18174</v>
      </c>
      <c r="R96" s="177">
        <f>AX96</f>
        <v>29281</v>
      </c>
      <c r="S96" s="177">
        <f>AV96</f>
        <v>13914</v>
      </c>
      <c r="T96" s="177">
        <f t="shared" si="214"/>
        <v>46620</v>
      </c>
      <c r="U96" s="179">
        <f t="shared" si="214"/>
        <v>142313</v>
      </c>
      <c r="V96" s="177">
        <f>BG96+BJ96</f>
        <v>2130</v>
      </c>
      <c r="W96" s="177">
        <f>BR96</f>
        <v>22739</v>
      </c>
      <c r="X96" s="177">
        <f>BH96+BI96</f>
        <v>7440</v>
      </c>
      <c r="Y96" s="177">
        <f>BK96+BL96+BN96</f>
        <v>24111</v>
      </c>
      <c r="Z96" s="177">
        <f>BM96</f>
        <v>50938</v>
      </c>
      <c r="AA96" s="177">
        <f>BO96+BQ96</f>
        <v>17633</v>
      </c>
      <c r="AB96" s="179">
        <f>BP96</f>
        <v>21135</v>
      </c>
      <c r="AC96" s="177">
        <f>BX96</f>
        <v>63405</v>
      </c>
      <c r="AD96" s="177">
        <f>BU96</f>
        <v>19010</v>
      </c>
      <c r="AE96" s="177">
        <f>BT96</f>
        <v>57822</v>
      </c>
      <c r="AF96" s="177">
        <f>CA96</f>
        <v>19171</v>
      </c>
      <c r="AG96" s="177">
        <f>BV96</f>
        <v>41802</v>
      </c>
      <c r="AH96" s="177">
        <f>BZ96</f>
        <v>58162</v>
      </c>
      <c r="AI96" s="177">
        <f>BW96</f>
        <v>28864</v>
      </c>
      <c r="AJ96" s="177">
        <f>BY96</f>
        <v>32079</v>
      </c>
      <c r="AK96" s="179">
        <f>CB96</f>
        <v>59765</v>
      </c>
      <c r="AL96" s="177">
        <f>CE96</f>
        <v>20658</v>
      </c>
      <c r="AM96" s="177">
        <f>CH96</f>
        <v>221995</v>
      </c>
      <c r="AN96" s="177">
        <f>CJ96</f>
        <v>454613</v>
      </c>
      <c r="AO96" s="177">
        <f t="shared" si="215"/>
        <v>51408</v>
      </c>
      <c r="AP96" s="177">
        <f t="shared" si="215"/>
        <v>9678</v>
      </c>
      <c r="AQ96" s="177">
        <f>CK96</f>
        <v>79595</v>
      </c>
      <c r="AR96" s="177">
        <f>CI96</f>
        <v>66931</v>
      </c>
      <c r="AS96" s="178">
        <f>CF96+CG96</f>
        <v>121335</v>
      </c>
      <c r="AT96" s="181">
        <v>2208</v>
      </c>
      <c r="AU96" s="181">
        <v>18174</v>
      </c>
      <c r="AV96" s="181">
        <v>13914</v>
      </c>
      <c r="AW96" s="181">
        <v>59369</v>
      </c>
      <c r="AX96" s="177">
        <v>29281</v>
      </c>
      <c r="AY96" s="177">
        <v>43879</v>
      </c>
      <c r="AZ96" s="177">
        <v>529</v>
      </c>
      <c r="BA96" s="177">
        <v>30242</v>
      </c>
      <c r="BB96" s="177">
        <v>46620</v>
      </c>
      <c r="BC96" s="177">
        <v>142313</v>
      </c>
      <c r="BD96" s="177">
        <v>46454</v>
      </c>
      <c r="BE96" s="177">
        <v>46862</v>
      </c>
      <c r="BF96" s="179">
        <v>165245</v>
      </c>
      <c r="BG96" s="177">
        <v>0</v>
      </c>
      <c r="BH96" s="177">
        <v>368</v>
      </c>
      <c r="BI96" s="177">
        <v>7072</v>
      </c>
      <c r="BJ96" s="177">
        <v>2130</v>
      </c>
      <c r="BK96" s="177">
        <v>971</v>
      </c>
      <c r="BL96" s="177">
        <v>57</v>
      </c>
      <c r="BM96" s="177">
        <v>50938</v>
      </c>
      <c r="BN96" s="177">
        <v>23083</v>
      </c>
      <c r="BO96" s="177">
        <v>175</v>
      </c>
      <c r="BP96" s="177">
        <v>21135</v>
      </c>
      <c r="BQ96" s="177">
        <v>17458</v>
      </c>
      <c r="BR96" s="179">
        <v>22739</v>
      </c>
      <c r="BS96" s="177">
        <v>0</v>
      </c>
      <c r="BT96" s="177">
        <v>57822</v>
      </c>
      <c r="BU96" s="177">
        <v>19010</v>
      </c>
      <c r="BV96" s="177">
        <v>41802</v>
      </c>
      <c r="BW96" s="177">
        <v>28864</v>
      </c>
      <c r="BX96" s="177">
        <v>63405</v>
      </c>
      <c r="BY96" s="177">
        <v>32079</v>
      </c>
      <c r="BZ96" s="177">
        <v>58162</v>
      </c>
      <c r="CA96" s="177">
        <v>19171</v>
      </c>
      <c r="CB96" s="179">
        <v>59765</v>
      </c>
      <c r="CC96" s="177">
        <v>51408</v>
      </c>
      <c r="CD96" s="177">
        <v>9678</v>
      </c>
      <c r="CE96" s="177">
        <v>20658</v>
      </c>
      <c r="CF96" s="177">
        <v>6170</v>
      </c>
      <c r="CG96" s="177">
        <v>115165</v>
      </c>
      <c r="CH96" s="177">
        <v>221995</v>
      </c>
      <c r="CI96" s="177">
        <v>66931</v>
      </c>
      <c r="CJ96" s="177">
        <v>454613</v>
      </c>
      <c r="CK96" s="178">
        <v>79595</v>
      </c>
      <c r="CL96" s="163">
        <f>SUM(F96:I96)</f>
        <v>2197509</v>
      </c>
    </row>
    <row r="97" spans="1:90">
      <c r="A97" s="93">
        <f>ROWS($A$3:A95)</f>
        <v>93</v>
      </c>
      <c r="B97" s="297" t="s">
        <v>107</v>
      </c>
      <c r="C97" s="238">
        <f>C95</f>
        <v>2008</v>
      </c>
      <c r="D97" s="314" t="s">
        <v>11</v>
      </c>
      <c r="E97" s="316">
        <v>40680</v>
      </c>
      <c r="F97" s="156">
        <v>603900</v>
      </c>
      <c r="G97" s="177">
        <v>138347</v>
      </c>
      <c r="H97" s="177">
        <v>352711</v>
      </c>
      <c r="I97" s="178">
        <v>981472</v>
      </c>
      <c r="J97" s="181"/>
      <c r="K97" s="156">
        <f>BF97</f>
        <v>155074</v>
      </c>
      <c r="L97" s="177">
        <f>AY97</f>
        <v>41053</v>
      </c>
      <c r="M97" s="177">
        <f>BD97</f>
        <v>43478</v>
      </c>
      <c r="N97" s="177">
        <f>AW97</f>
        <v>55266</v>
      </c>
      <c r="O97" s="177">
        <f>BE97</f>
        <v>43767</v>
      </c>
      <c r="P97" s="177">
        <f>AZ97+BA97</f>
        <v>28830</v>
      </c>
      <c r="Q97" s="177">
        <f>'2008'!AU97</f>
        <v>17006</v>
      </c>
      <c r="R97" s="177">
        <f>AX97</f>
        <v>27467</v>
      </c>
      <c r="S97" s="177">
        <f>AV97</f>
        <v>12840</v>
      </c>
      <c r="T97" s="177">
        <f>BB97</f>
        <v>43685</v>
      </c>
      <c r="U97" s="179">
        <f>BC97</f>
        <v>133375</v>
      </c>
      <c r="V97" s="177">
        <f>BG97+BJ97</f>
        <v>1976</v>
      </c>
      <c r="W97" s="177">
        <f>BR97</f>
        <v>21466</v>
      </c>
      <c r="X97" s="177">
        <f>BH97+BI97</f>
        <v>7001</v>
      </c>
      <c r="Y97" s="177">
        <f>BK97+BL97+BN97</f>
        <v>22899</v>
      </c>
      <c r="Z97" s="177">
        <f>BM97</f>
        <v>48317</v>
      </c>
      <c r="AA97" s="177">
        <f>BO97+BQ97</f>
        <v>16733</v>
      </c>
      <c r="AB97" s="179">
        <f>BP97</f>
        <v>19955</v>
      </c>
      <c r="AC97" s="177">
        <f>BX97</f>
        <v>58748</v>
      </c>
      <c r="AD97" s="177">
        <f>BU97</f>
        <v>17428</v>
      </c>
      <c r="AE97" s="177">
        <f>BT97</f>
        <v>53636</v>
      </c>
      <c r="AF97" s="177">
        <f>CA97</f>
        <v>17518</v>
      </c>
      <c r="AG97" s="177">
        <f>BV97</f>
        <v>38241</v>
      </c>
      <c r="AH97" s="177">
        <f>BZ97</f>
        <v>54696</v>
      </c>
      <c r="AI97" s="177">
        <f>BW97</f>
        <v>26720</v>
      </c>
      <c r="AJ97" s="177">
        <f>BY97</f>
        <v>30031</v>
      </c>
      <c r="AK97" s="179">
        <f>CB97</f>
        <v>55693</v>
      </c>
      <c r="AL97" s="177">
        <f>CE97</f>
        <v>19734</v>
      </c>
      <c r="AM97" s="177">
        <f>CH97</f>
        <v>212304</v>
      </c>
      <c r="AN97" s="177">
        <f>CJ97</f>
        <v>435692</v>
      </c>
      <c r="AO97" s="177">
        <f>CC97</f>
        <v>48954</v>
      </c>
      <c r="AP97" s="177">
        <f>CD97</f>
        <v>9167</v>
      </c>
      <c r="AQ97" s="177">
        <f>CK97</f>
        <v>75781</v>
      </c>
      <c r="AR97" s="177">
        <f>CI97</f>
        <v>63850</v>
      </c>
      <c r="AS97" s="178">
        <f>CF97+CG97</f>
        <v>115990</v>
      </c>
      <c r="AT97" s="181">
        <v>2059</v>
      </c>
      <c r="AU97" s="181">
        <v>17006</v>
      </c>
      <c r="AV97" s="181">
        <v>12840</v>
      </c>
      <c r="AW97" s="181">
        <v>55266</v>
      </c>
      <c r="AX97" s="177">
        <v>27467</v>
      </c>
      <c r="AY97" s="177">
        <v>41053</v>
      </c>
      <c r="AZ97" s="177">
        <v>483</v>
      </c>
      <c r="BA97" s="177">
        <v>28347</v>
      </c>
      <c r="BB97" s="177">
        <v>43685</v>
      </c>
      <c r="BC97" s="177">
        <v>133375</v>
      </c>
      <c r="BD97" s="177">
        <v>43478</v>
      </c>
      <c r="BE97" s="177">
        <v>43767</v>
      </c>
      <c r="BF97" s="179">
        <v>155074</v>
      </c>
      <c r="BG97" s="181">
        <v>0</v>
      </c>
      <c r="BH97" s="177">
        <v>354</v>
      </c>
      <c r="BI97" s="177">
        <v>6647</v>
      </c>
      <c r="BJ97" s="177">
        <v>1976</v>
      </c>
      <c r="BK97" s="177">
        <v>959</v>
      </c>
      <c r="BL97" s="177">
        <v>55</v>
      </c>
      <c r="BM97" s="177">
        <v>48317</v>
      </c>
      <c r="BN97" s="177">
        <v>21885</v>
      </c>
      <c r="BO97" s="177">
        <v>175</v>
      </c>
      <c r="BP97" s="177">
        <v>19955</v>
      </c>
      <c r="BQ97" s="177">
        <v>16558</v>
      </c>
      <c r="BR97" s="179">
        <v>21466</v>
      </c>
      <c r="BS97" s="177">
        <v>0</v>
      </c>
      <c r="BT97" s="177">
        <v>53636</v>
      </c>
      <c r="BU97" s="177">
        <v>17428</v>
      </c>
      <c r="BV97" s="177">
        <v>38241</v>
      </c>
      <c r="BW97" s="177">
        <v>26720</v>
      </c>
      <c r="BX97" s="177">
        <v>58748</v>
      </c>
      <c r="BY97" s="177">
        <v>30031</v>
      </c>
      <c r="BZ97" s="177">
        <v>54696</v>
      </c>
      <c r="CA97" s="177">
        <v>17518</v>
      </c>
      <c r="CB97" s="179">
        <v>55693</v>
      </c>
      <c r="CC97" s="177">
        <v>48954</v>
      </c>
      <c r="CD97" s="177">
        <v>9167</v>
      </c>
      <c r="CE97" s="177">
        <v>19734</v>
      </c>
      <c r="CF97" s="177">
        <v>6133</v>
      </c>
      <c r="CG97" s="177">
        <v>109857</v>
      </c>
      <c r="CH97" s="177">
        <v>212304</v>
      </c>
      <c r="CI97" s="177">
        <v>63850</v>
      </c>
      <c r="CJ97" s="177">
        <v>435692</v>
      </c>
      <c r="CK97" s="178">
        <v>75781</v>
      </c>
      <c r="CL97" s="163">
        <f>SUM(F97:I97)</f>
        <v>2076430</v>
      </c>
    </row>
    <row r="98" spans="1:90">
      <c r="A98" s="93">
        <f>ROWS($A$3:A96)</f>
        <v>94</v>
      </c>
      <c r="B98" s="296" t="s">
        <v>82</v>
      </c>
      <c r="C98" s="242">
        <v>2001</v>
      </c>
      <c r="D98" s="314" t="s">
        <v>14</v>
      </c>
      <c r="E98" s="316">
        <v>40680</v>
      </c>
      <c r="F98" s="194">
        <v>122737</v>
      </c>
      <c r="G98" s="195">
        <v>30239</v>
      </c>
      <c r="H98" s="195">
        <v>82089</v>
      </c>
      <c r="I98" s="196">
        <v>186831</v>
      </c>
      <c r="J98" s="348"/>
      <c r="K98" s="197">
        <f>BF98</f>
        <v>29042</v>
      </c>
      <c r="L98" s="147">
        <f>AY98</f>
        <v>8671</v>
      </c>
      <c r="M98" s="147">
        <f>BD98</f>
        <v>9647</v>
      </c>
      <c r="N98" s="147">
        <f>AW98</f>
        <v>12155</v>
      </c>
      <c r="O98" s="147">
        <f>BE98</f>
        <v>8882</v>
      </c>
      <c r="P98" s="177">
        <f>AZ98+BA98</f>
        <v>6750</v>
      </c>
      <c r="Q98" s="147">
        <f>'2008'!AU98</f>
        <v>3596</v>
      </c>
      <c r="R98" s="147">
        <f>AT98+AX98</f>
        <v>6359</v>
      </c>
      <c r="S98" s="147">
        <f>AV98</f>
        <v>3597</v>
      </c>
      <c r="T98" s="147">
        <f t="shared" si="214"/>
        <v>9048</v>
      </c>
      <c r="U98" s="145">
        <f t="shared" si="214"/>
        <v>25010</v>
      </c>
      <c r="V98" s="177">
        <f>BG98+BJ98</f>
        <v>733</v>
      </c>
      <c r="W98" s="147">
        <f>BR98</f>
        <v>4744</v>
      </c>
      <c r="X98" s="177">
        <f>BH98+BI98</f>
        <v>2102</v>
      </c>
      <c r="Y98" s="177">
        <f>BK98+BL98+BN98</f>
        <v>5175</v>
      </c>
      <c r="Z98" s="147">
        <f>BM98</f>
        <v>9713</v>
      </c>
      <c r="AA98" s="177">
        <f>BO98+BQ98</f>
        <v>3302</v>
      </c>
      <c r="AB98" s="145">
        <f>BP98</f>
        <v>4470</v>
      </c>
      <c r="AC98" s="147">
        <f>BX98</f>
        <v>13714</v>
      </c>
      <c r="AD98" s="147">
        <f>BU98</f>
        <v>4577</v>
      </c>
      <c r="AE98" s="147">
        <f>BT98</f>
        <v>12575</v>
      </c>
      <c r="AF98" s="147">
        <f>CA98</f>
        <v>5079</v>
      </c>
      <c r="AG98" s="147">
        <f>BV98</f>
        <v>11376</v>
      </c>
      <c r="AH98" s="147">
        <f>BZ98</f>
        <v>10288</v>
      </c>
      <c r="AI98" s="147">
        <f>BW98</f>
        <v>6966</v>
      </c>
      <c r="AJ98" s="147">
        <f>BY98</f>
        <v>5669</v>
      </c>
      <c r="AK98" s="145">
        <f>CB98</f>
        <v>11846</v>
      </c>
      <c r="AL98" s="147">
        <f>CE98</f>
        <v>3682</v>
      </c>
      <c r="AM98" s="147">
        <f>CH98</f>
        <v>40047</v>
      </c>
      <c r="AN98" s="147">
        <f>CJ98</f>
        <v>77867</v>
      </c>
      <c r="AO98" s="147">
        <f t="shared" si="215"/>
        <v>10463</v>
      </c>
      <c r="AP98" s="147">
        <f t="shared" si="215"/>
        <v>2188</v>
      </c>
      <c r="AQ98" s="147">
        <f>CK98</f>
        <v>16050</v>
      </c>
      <c r="AR98" s="147">
        <f>CI98</f>
        <v>13238</v>
      </c>
      <c r="AS98" s="178">
        <f>CF98+CG98</f>
        <v>23297</v>
      </c>
      <c r="AT98" s="147">
        <v>488</v>
      </c>
      <c r="AU98" s="147">
        <v>3596</v>
      </c>
      <c r="AV98" s="147">
        <v>3597</v>
      </c>
      <c r="AW98" s="147">
        <v>12155</v>
      </c>
      <c r="AX98" s="147">
        <v>5871</v>
      </c>
      <c r="AY98" s="147">
        <v>8671</v>
      </c>
      <c r="AZ98" s="147">
        <v>266</v>
      </c>
      <c r="BA98" s="147">
        <v>6484</v>
      </c>
      <c r="BB98" s="147">
        <v>9048</v>
      </c>
      <c r="BC98" s="147">
        <v>25010</v>
      </c>
      <c r="BD98" s="147">
        <v>9647</v>
      </c>
      <c r="BE98" s="147">
        <v>8882</v>
      </c>
      <c r="BF98" s="145">
        <v>29042</v>
      </c>
      <c r="BG98" s="199">
        <v>0</v>
      </c>
      <c r="BH98" s="147">
        <v>113</v>
      </c>
      <c r="BI98" s="147">
        <v>1989</v>
      </c>
      <c r="BJ98" s="147">
        <v>733</v>
      </c>
      <c r="BK98" s="147">
        <v>256</v>
      </c>
      <c r="BL98" s="147">
        <v>39</v>
      </c>
      <c r="BM98" s="147">
        <v>9713</v>
      </c>
      <c r="BN98" s="147">
        <v>4880</v>
      </c>
      <c r="BO98" s="199">
        <v>113</v>
      </c>
      <c r="BP98" s="147">
        <v>4470</v>
      </c>
      <c r="BQ98" s="147">
        <v>3189</v>
      </c>
      <c r="BR98" s="145">
        <v>4744</v>
      </c>
      <c r="BS98" s="199">
        <v>0</v>
      </c>
      <c r="BT98" s="147">
        <v>12575</v>
      </c>
      <c r="BU98" s="147">
        <v>4577</v>
      </c>
      <c r="BV98" s="147">
        <v>11376</v>
      </c>
      <c r="BW98" s="147">
        <v>6966</v>
      </c>
      <c r="BX98" s="147">
        <v>13714</v>
      </c>
      <c r="BY98" s="147">
        <v>5669</v>
      </c>
      <c r="BZ98" s="147">
        <v>10288</v>
      </c>
      <c r="CA98" s="147">
        <v>5079</v>
      </c>
      <c r="CB98" s="145">
        <v>11846</v>
      </c>
      <c r="CC98" s="147">
        <v>10463</v>
      </c>
      <c r="CD98" s="147">
        <v>2188</v>
      </c>
      <c r="CE98" s="147">
        <v>3682</v>
      </c>
      <c r="CF98" s="147">
        <v>1002</v>
      </c>
      <c r="CG98" s="147">
        <v>22295</v>
      </c>
      <c r="CH98" s="147">
        <v>40047</v>
      </c>
      <c r="CI98" s="147">
        <v>13238</v>
      </c>
      <c r="CJ98" s="147">
        <v>77867</v>
      </c>
      <c r="CK98" s="198">
        <v>16050</v>
      </c>
      <c r="CL98" s="163">
        <v>421896</v>
      </c>
    </row>
    <row r="99" spans="1:90">
      <c r="A99" s="93">
        <f>ROWS($A$3:A97)</f>
        <v>95</v>
      </c>
      <c r="B99" s="296" t="s">
        <v>107</v>
      </c>
      <c r="C99" s="245">
        <f>C98</f>
        <v>2001</v>
      </c>
      <c r="D99" s="314" t="s">
        <v>11</v>
      </c>
      <c r="E99" s="316">
        <v>40680</v>
      </c>
      <c r="F99" s="194">
        <v>618865</v>
      </c>
      <c r="G99" s="195">
        <v>149025</v>
      </c>
      <c r="H99" s="195">
        <v>366598</v>
      </c>
      <c r="I99" s="196">
        <v>1009287</v>
      </c>
      <c r="J99" s="348"/>
      <c r="K99" s="197">
        <f>BF99</f>
        <v>150712</v>
      </c>
      <c r="L99" s="147">
        <f>AY99</f>
        <v>42810</v>
      </c>
      <c r="M99" s="147">
        <f>BD99</f>
        <v>45971</v>
      </c>
      <c r="N99" s="147">
        <f>AW99</f>
        <v>57752</v>
      </c>
      <c r="O99" s="147">
        <f>BE99</f>
        <v>42099</v>
      </c>
      <c r="P99" s="177">
        <f>AZ99+BA99</f>
        <v>34324</v>
      </c>
      <c r="Q99" s="147">
        <f>'2008'!AU99</f>
        <v>18437</v>
      </c>
      <c r="R99" s="147">
        <f>AT99+AX99</f>
        <v>31700</v>
      </c>
      <c r="S99" s="147">
        <f>AV99</f>
        <v>14642</v>
      </c>
      <c r="T99" s="147">
        <f t="shared" si="214"/>
        <v>45007</v>
      </c>
      <c r="U99" s="145">
        <f t="shared" si="214"/>
        <v>135411</v>
      </c>
      <c r="V99" s="177">
        <f>BG99+BJ99</f>
        <v>2815</v>
      </c>
      <c r="W99" s="147">
        <f>BR99</f>
        <v>22064</v>
      </c>
      <c r="X99" s="177">
        <f>BH99+BI99</f>
        <v>8816</v>
      </c>
      <c r="Y99" s="177">
        <f>BK99+BL99+BN99</f>
        <v>25904</v>
      </c>
      <c r="Z99" s="147">
        <f>BM99</f>
        <v>51750</v>
      </c>
      <c r="AA99" s="177">
        <f>BO99+BQ99</f>
        <v>16216</v>
      </c>
      <c r="AB99" s="145">
        <f>BP99</f>
        <v>21460</v>
      </c>
      <c r="AC99" s="147">
        <f>BX99</f>
        <v>61788</v>
      </c>
      <c r="AD99" s="147">
        <f>BU99</f>
        <v>19448</v>
      </c>
      <c r="AE99" s="147">
        <f>BT99</f>
        <v>55233</v>
      </c>
      <c r="AF99" s="147">
        <f>CA99</f>
        <v>19955</v>
      </c>
      <c r="AG99" s="147">
        <f>BV99</f>
        <v>44544</v>
      </c>
      <c r="AH99" s="147">
        <f>BZ99</f>
        <v>53603</v>
      </c>
      <c r="AI99" s="147">
        <f>BW99</f>
        <v>29404</v>
      </c>
      <c r="AJ99" s="147">
        <f>BY99</f>
        <v>28518</v>
      </c>
      <c r="AK99" s="145">
        <f>CB99</f>
        <v>54105</v>
      </c>
      <c r="AL99" s="147">
        <f>CE99</f>
        <v>19008</v>
      </c>
      <c r="AM99" s="147">
        <f>CH99</f>
        <v>219991</v>
      </c>
      <c r="AN99" s="147">
        <f>CJ99</f>
        <v>437632</v>
      </c>
      <c r="AO99" s="147">
        <f t="shared" si="215"/>
        <v>51966</v>
      </c>
      <c r="AP99" s="147">
        <f t="shared" si="215"/>
        <v>9443</v>
      </c>
      <c r="AQ99" s="147">
        <f>CK99</f>
        <v>80123</v>
      </c>
      <c r="AR99" s="147">
        <f>CI99</f>
        <v>71575</v>
      </c>
      <c r="AS99" s="178">
        <f>CF99+CG99</f>
        <v>119549</v>
      </c>
      <c r="AT99" s="147">
        <v>2163</v>
      </c>
      <c r="AU99" s="147">
        <v>18437</v>
      </c>
      <c r="AV99" s="147">
        <v>14642</v>
      </c>
      <c r="AW99" s="147">
        <v>57752</v>
      </c>
      <c r="AX99" s="147">
        <v>29537</v>
      </c>
      <c r="AY99" s="147">
        <v>42810</v>
      </c>
      <c r="AZ99" s="147">
        <v>832</v>
      </c>
      <c r="BA99" s="147">
        <v>33492</v>
      </c>
      <c r="BB99" s="147">
        <v>45007</v>
      </c>
      <c r="BC99" s="147">
        <v>135411</v>
      </c>
      <c r="BD99" s="147">
        <v>45971</v>
      </c>
      <c r="BE99" s="147">
        <v>42099</v>
      </c>
      <c r="BF99" s="145">
        <v>150712</v>
      </c>
      <c r="BG99" s="199">
        <v>0</v>
      </c>
      <c r="BH99" s="147">
        <v>500</v>
      </c>
      <c r="BI99" s="147">
        <v>8316</v>
      </c>
      <c r="BJ99" s="147">
        <v>2815</v>
      </c>
      <c r="BK99" s="147">
        <v>1657</v>
      </c>
      <c r="BL99" s="147">
        <v>163</v>
      </c>
      <c r="BM99" s="147">
        <v>51750</v>
      </c>
      <c r="BN99" s="147">
        <v>24084</v>
      </c>
      <c r="BO99" s="199">
        <v>477</v>
      </c>
      <c r="BP99" s="147">
        <v>21460</v>
      </c>
      <c r="BQ99" s="147">
        <v>15739</v>
      </c>
      <c r="BR99" s="145">
        <v>22064</v>
      </c>
      <c r="BS99" s="199">
        <v>0</v>
      </c>
      <c r="BT99" s="147">
        <v>55233</v>
      </c>
      <c r="BU99" s="147">
        <v>19448</v>
      </c>
      <c r="BV99" s="147">
        <v>44544</v>
      </c>
      <c r="BW99" s="147">
        <v>29404</v>
      </c>
      <c r="BX99" s="147">
        <v>61788</v>
      </c>
      <c r="BY99" s="147">
        <v>28518</v>
      </c>
      <c r="BZ99" s="147">
        <v>53603</v>
      </c>
      <c r="CA99" s="147">
        <v>19955</v>
      </c>
      <c r="CB99" s="145">
        <v>54105</v>
      </c>
      <c r="CC99" s="147">
        <v>51966</v>
      </c>
      <c r="CD99" s="147">
        <v>9443</v>
      </c>
      <c r="CE99" s="147">
        <v>19008</v>
      </c>
      <c r="CF99" s="147">
        <v>6155</v>
      </c>
      <c r="CG99" s="147">
        <v>113394</v>
      </c>
      <c r="CH99" s="147">
        <v>219991</v>
      </c>
      <c r="CI99" s="147">
        <v>71575</v>
      </c>
      <c r="CJ99" s="147">
        <v>437632</v>
      </c>
      <c r="CK99" s="198">
        <v>80123</v>
      </c>
      <c r="CL99" s="163">
        <v>2143775</v>
      </c>
    </row>
    <row r="100" spans="1:90">
      <c r="A100" s="93">
        <f>ROWS($A$3:A98)</f>
        <v>96</v>
      </c>
      <c r="B100" s="63"/>
      <c r="C100" s="243"/>
      <c r="D100" s="314"/>
      <c r="E100" s="333"/>
      <c r="F100" s="194" t="s">
        <v>245</v>
      </c>
      <c r="G100" s="195" t="s">
        <v>245</v>
      </c>
      <c r="H100" s="195" t="s">
        <v>245</v>
      </c>
      <c r="I100" s="196" t="s">
        <v>245</v>
      </c>
      <c r="J100" s="348"/>
      <c r="K100" s="197" t="s">
        <v>245</v>
      </c>
      <c r="L100" s="147" t="s">
        <v>245</v>
      </c>
      <c r="M100" s="147" t="s">
        <v>245</v>
      </c>
      <c r="N100" s="147" t="s">
        <v>245</v>
      </c>
      <c r="O100" s="147" t="s">
        <v>245</v>
      </c>
      <c r="P100" s="147" t="s">
        <v>229</v>
      </c>
      <c r="Q100" s="147" t="s">
        <v>245</v>
      </c>
      <c r="R100" s="147" t="s">
        <v>230</v>
      </c>
      <c r="S100" s="147" t="s">
        <v>245</v>
      </c>
      <c r="T100" s="147" t="s">
        <v>245</v>
      </c>
      <c r="U100" s="145" t="s">
        <v>245</v>
      </c>
      <c r="V100" s="147" t="s">
        <v>231</v>
      </c>
      <c r="W100" s="147" t="s">
        <v>245</v>
      </c>
      <c r="X100" s="147" t="s">
        <v>232</v>
      </c>
      <c r="Y100" s="147" t="s">
        <v>233</v>
      </c>
      <c r="Z100" s="147" t="s">
        <v>245</v>
      </c>
      <c r="AA100" s="147" t="s">
        <v>234</v>
      </c>
      <c r="AB100" s="145" t="s">
        <v>245</v>
      </c>
      <c r="AC100" s="147" t="s">
        <v>245</v>
      </c>
      <c r="AD100" s="147" t="s">
        <v>245</v>
      </c>
      <c r="AE100" s="147" t="s">
        <v>235</v>
      </c>
      <c r="AF100" s="147" t="s">
        <v>245</v>
      </c>
      <c r="AG100" s="147" t="s">
        <v>245</v>
      </c>
      <c r="AH100" s="147" t="s">
        <v>245</v>
      </c>
      <c r="AI100" s="147" t="s">
        <v>245</v>
      </c>
      <c r="AJ100" s="147" t="s">
        <v>245</v>
      </c>
      <c r="AK100" s="145" t="s">
        <v>245</v>
      </c>
      <c r="AL100" s="147" t="s">
        <v>245</v>
      </c>
      <c r="AM100" s="147" t="s">
        <v>245</v>
      </c>
      <c r="AN100" s="147" t="s">
        <v>245</v>
      </c>
      <c r="AO100" s="147" t="s">
        <v>245</v>
      </c>
      <c r="AP100" s="147" t="s">
        <v>245</v>
      </c>
      <c r="AQ100" s="147" t="s">
        <v>245</v>
      </c>
      <c r="AR100" s="147" t="s">
        <v>245</v>
      </c>
      <c r="AS100" s="198" t="s">
        <v>236</v>
      </c>
      <c r="AT100" s="147" t="s">
        <v>245</v>
      </c>
      <c r="AU100" s="147" t="s">
        <v>245</v>
      </c>
      <c r="AV100" s="147" t="s">
        <v>245</v>
      </c>
      <c r="AW100" s="147" t="s">
        <v>245</v>
      </c>
      <c r="AX100" s="147" t="s">
        <v>245</v>
      </c>
      <c r="AY100" s="147" t="s">
        <v>245</v>
      </c>
      <c r="AZ100" s="147" t="s">
        <v>245</v>
      </c>
      <c r="BA100" s="147" t="s">
        <v>245</v>
      </c>
      <c r="BB100" s="147" t="s">
        <v>245</v>
      </c>
      <c r="BC100" s="147" t="s">
        <v>245</v>
      </c>
      <c r="BD100" s="147" t="s">
        <v>245</v>
      </c>
      <c r="BE100" s="147" t="s">
        <v>245</v>
      </c>
      <c r="BF100" s="145" t="s">
        <v>245</v>
      </c>
      <c r="BG100" s="199" t="s">
        <v>245</v>
      </c>
      <c r="BH100" s="147" t="s">
        <v>245</v>
      </c>
      <c r="BI100" s="147" t="s">
        <v>245</v>
      </c>
      <c r="BJ100" s="147" t="s">
        <v>245</v>
      </c>
      <c r="BK100" s="147" t="s">
        <v>245</v>
      </c>
      <c r="BL100" s="147" t="s">
        <v>245</v>
      </c>
      <c r="BM100" s="147" t="s">
        <v>245</v>
      </c>
      <c r="BN100" s="147" t="s">
        <v>245</v>
      </c>
      <c r="BO100" s="199" t="s">
        <v>245</v>
      </c>
      <c r="BP100" s="147" t="s">
        <v>245</v>
      </c>
      <c r="BQ100" s="147" t="s">
        <v>245</v>
      </c>
      <c r="BR100" s="145" t="s">
        <v>245</v>
      </c>
      <c r="BS100" s="199" t="s">
        <v>245</v>
      </c>
      <c r="BT100" s="147" t="s">
        <v>245</v>
      </c>
      <c r="BU100" s="147" t="s">
        <v>245</v>
      </c>
      <c r="BV100" s="147" t="s">
        <v>245</v>
      </c>
      <c r="BW100" s="147" t="s">
        <v>245</v>
      </c>
      <c r="BX100" s="147" t="s">
        <v>245</v>
      </c>
      <c r="BY100" s="147" t="s">
        <v>245</v>
      </c>
      <c r="BZ100" s="147" t="s">
        <v>245</v>
      </c>
      <c r="CA100" s="147" t="s">
        <v>245</v>
      </c>
      <c r="CB100" s="145" t="s">
        <v>245</v>
      </c>
      <c r="CC100" s="147" t="s">
        <v>245</v>
      </c>
      <c r="CD100" s="147" t="s">
        <v>245</v>
      </c>
      <c r="CE100" s="147" t="s">
        <v>245</v>
      </c>
      <c r="CF100" s="147" t="s">
        <v>245</v>
      </c>
      <c r="CG100" s="147" t="s">
        <v>245</v>
      </c>
      <c r="CH100" s="147" t="s">
        <v>245</v>
      </c>
      <c r="CI100" s="147" t="s">
        <v>245</v>
      </c>
      <c r="CJ100" s="147" t="s">
        <v>245</v>
      </c>
      <c r="CK100" s="198" t="s">
        <v>245</v>
      </c>
      <c r="CL100" s="163" t="s">
        <v>245</v>
      </c>
    </row>
    <row r="101" spans="1:90">
      <c r="A101" s="93">
        <f>ROWS($A$3:A99)</f>
        <v>97</v>
      </c>
      <c r="B101" s="63" t="s">
        <v>275</v>
      </c>
      <c r="C101" s="243">
        <f>C86</f>
        <v>2008</v>
      </c>
      <c r="D101" s="314" t="s">
        <v>14</v>
      </c>
      <c r="E101" s="316">
        <v>40680</v>
      </c>
      <c r="F101" s="194">
        <v>2567</v>
      </c>
      <c r="G101" s="195">
        <v>902</v>
      </c>
      <c r="H101" s="195">
        <v>1184</v>
      </c>
      <c r="I101" s="196">
        <v>1296</v>
      </c>
      <c r="J101" s="348"/>
      <c r="K101" s="197">
        <f t="shared" ref="K101:K107" si="216">BF101</f>
        <v>158</v>
      </c>
      <c r="L101" s="147">
        <f t="shared" ref="L101:L107" si="217">AY101</f>
        <v>199</v>
      </c>
      <c r="M101" s="147">
        <f t="shared" ref="M101:M107" si="218">BD101</f>
        <v>174</v>
      </c>
      <c r="N101" s="147">
        <f t="shared" ref="N101:N107" si="219">AW101</f>
        <v>84</v>
      </c>
      <c r="O101" s="147">
        <f t="shared" ref="O101:O107" si="220">BE101</f>
        <v>75</v>
      </c>
      <c r="P101" s="147">
        <f>'2008'!AZ101+'2008'!BA101</f>
        <v>615</v>
      </c>
      <c r="Q101" s="147">
        <f>'2008'!AU101</f>
        <v>295</v>
      </c>
      <c r="R101" s="147">
        <f t="shared" ref="R101:R107" si="221">AT101+AX101</f>
        <v>359</v>
      </c>
      <c r="S101" s="147">
        <f t="shared" ref="S101:S107" si="222">AV101</f>
        <v>360</v>
      </c>
      <c r="T101" s="147">
        <f t="shared" ref="T101:U107" si="223">BB101</f>
        <v>88</v>
      </c>
      <c r="U101" s="145">
        <f t="shared" si="223"/>
        <v>160</v>
      </c>
      <c r="V101" s="147">
        <f t="shared" ref="V101:V107" si="224">BG101+BJ101</f>
        <v>86</v>
      </c>
      <c r="W101" s="147">
        <f t="shared" ref="W101:W107" si="225">BR101</f>
        <v>87</v>
      </c>
      <c r="X101" s="147">
        <f t="shared" ref="X101:X107" si="226">BH101+BI101</f>
        <v>259</v>
      </c>
      <c r="Y101" s="147">
        <f t="shared" ref="Y101:Y107" si="227">BK101+BL101+BN101</f>
        <v>88</v>
      </c>
      <c r="Z101" s="147">
        <f t="shared" ref="Z101:Z107" si="228">BM101</f>
        <v>195</v>
      </c>
      <c r="AA101" s="147">
        <f t="shared" ref="AA101:AA107" si="229">BO101+BQ101</f>
        <v>69</v>
      </c>
      <c r="AB101" s="145">
        <f t="shared" ref="AB101:AB107" si="230">BP101</f>
        <v>112</v>
      </c>
      <c r="AC101" s="147">
        <f t="shared" ref="AC101:AC107" si="231">BX101</f>
        <v>65</v>
      </c>
      <c r="AD101" s="147">
        <f t="shared" ref="AD101:AD107" si="232">BU101</f>
        <v>160</v>
      </c>
      <c r="AE101" s="147">
        <f t="shared" ref="AE101:AE107" si="233">BS101+BT101</f>
        <v>207</v>
      </c>
      <c r="AF101" s="147">
        <f t="shared" ref="AF101:AF107" si="234">CA101</f>
        <v>133</v>
      </c>
      <c r="AG101" s="147">
        <f t="shared" ref="AG101:AG107" si="235">BV101</f>
        <v>327</v>
      </c>
      <c r="AH101" s="147">
        <f t="shared" ref="AH101:AH107" si="236">BZ101</f>
        <v>89</v>
      </c>
      <c r="AI101" s="147">
        <f t="shared" ref="AI101:AI107" si="237">BW101</f>
        <v>62</v>
      </c>
      <c r="AJ101" s="147">
        <f t="shared" ref="AJ101:AJ107" si="238">BY101</f>
        <v>123</v>
      </c>
      <c r="AK101" s="145">
        <f t="shared" ref="AK101:AK107" si="239">CB101</f>
        <v>18</v>
      </c>
      <c r="AL101" s="147">
        <f t="shared" ref="AL101:AL107" si="240">CE101</f>
        <v>208</v>
      </c>
      <c r="AM101" s="147">
        <f t="shared" ref="AM101:AM107" si="241">CH101</f>
        <v>181</v>
      </c>
      <c r="AN101" s="147">
        <f t="shared" ref="AN101:AN107" si="242">CJ101</f>
        <v>129</v>
      </c>
      <c r="AO101" s="147">
        <f t="shared" ref="AO101:AP107" si="243">CC101</f>
        <v>198</v>
      </c>
      <c r="AP101" s="147">
        <f t="shared" si="243"/>
        <v>182</v>
      </c>
      <c r="AQ101" s="147">
        <f t="shared" ref="AQ101:AQ107" si="244">CK101</f>
        <v>182</v>
      </c>
      <c r="AR101" s="147">
        <f t="shared" ref="AR101:AR107" si="245">CI101</f>
        <v>0</v>
      </c>
      <c r="AS101" s="198">
        <f t="shared" ref="AS101:AS107" si="246">CF101+CG101</f>
        <v>170</v>
      </c>
      <c r="AT101" s="147">
        <v>21</v>
      </c>
      <c r="AU101" s="147">
        <v>295</v>
      </c>
      <c r="AV101" s="147">
        <v>360</v>
      </c>
      <c r="AW101" s="147">
        <v>84</v>
      </c>
      <c r="AX101" s="147">
        <v>338</v>
      </c>
      <c r="AY101" s="147">
        <v>199</v>
      </c>
      <c r="AZ101" s="147">
        <v>83</v>
      </c>
      <c r="BA101" s="147">
        <v>532</v>
      </c>
      <c r="BB101" s="147">
        <v>88</v>
      </c>
      <c r="BC101" s="147">
        <v>160</v>
      </c>
      <c r="BD101" s="147">
        <v>174</v>
      </c>
      <c r="BE101" s="147">
        <v>75</v>
      </c>
      <c r="BF101" s="145">
        <v>158</v>
      </c>
      <c r="BG101" s="199">
        <v>15</v>
      </c>
      <c r="BH101" s="147">
        <v>0</v>
      </c>
      <c r="BI101" s="147">
        <v>259</v>
      </c>
      <c r="BJ101" s="147">
        <v>71</v>
      </c>
      <c r="BK101" s="147">
        <v>6</v>
      </c>
      <c r="BL101" s="147">
        <v>0</v>
      </c>
      <c r="BM101" s="147">
        <v>195</v>
      </c>
      <c r="BN101" s="147">
        <v>82</v>
      </c>
      <c r="BO101" s="199">
        <v>7</v>
      </c>
      <c r="BP101" s="147">
        <v>112</v>
      </c>
      <c r="BQ101" s="147">
        <v>62</v>
      </c>
      <c r="BR101" s="145">
        <v>87</v>
      </c>
      <c r="BS101" s="199">
        <v>20</v>
      </c>
      <c r="BT101" s="147">
        <v>187</v>
      </c>
      <c r="BU101" s="147">
        <v>160</v>
      </c>
      <c r="BV101" s="147">
        <v>327</v>
      </c>
      <c r="BW101" s="147">
        <v>62</v>
      </c>
      <c r="BX101" s="147">
        <v>65</v>
      </c>
      <c r="BY101" s="147">
        <v>123</v>
      </c>
      <c r="BZ101" s="147">
        <v>89</v>
      </c>
      <c r="CA101" s="147">
        <v>133</v>
      </c>
      <c r="CB101" s="145">
        <v>18</v>
      </c>
      <c r="CC101" s="147">
        <v>198</v>
      </c>
      <c r="CD101" s="147">
        <v>182</v>
      </c>
      <c r="CE101" s="147">
        <v>208</v>
      </c>
      <c r="CF101" s="147">
        <v>0</v>
      </c>
      <c r="CG101" s="147">
        <v>170</v>
      </c>
      <c r="CH101" s="147">
        <v>181</v>
      </c>
      <c r="CI101" s="147">
        <v>0</v>
      </c>
      <c r="CJ101" s="147">
        <v>129</v>
      </c>
      <c r="CK101" s="198">
        <v>182</v>
      </c>
      <c r="CL101" s="163">
        <v>5949</v>
      </c>
    </row>
    <row r="102" spans="1:90">
      <c r="A102" s="93">
        <f>ROWS($A$3:A100)</f>
        <v>98</v>
      </c>
      <c r="B102" s="63"/>
      <c r="C102" s="243"/>
      <c r="D102" s="314"/>
      <c r="E102" s="333"/>
      <c r="F102" s="194"/>
      <c r="G102" s="195"/>
      <c r="H102" s="195"/>
      <c r="I102" s="196"/>
      <c r="J102" s="348"/>
      <c r="K102" s="197">
        <f t="shared" si="216"/>
        <v>0</v>
      </c>
      <c r="L102" s="147">
        <f t="shared" si="217"/>
        <v>0</v>
      </c>
      <c r="M102" s="147">
        <f t="shared" si="218"/>
        <v>0</v>
      </c>
      <c r="N102" s="147">
        <f t="shared" si="219"/>
        <v>0</v>
      </c>
      <c r="O102" s="147">
        <f t="shared" si="220"/>
        <v>0</v>
      </c>
      <c r="P102" s="147">
        <f>'2008'!AZ102+'2008'!BA102</f>
        <v>0</v>
      </c>
      <c r="Q102" s="147">
        <f>'2008'!AU102</f>
        <v>0</v>
      </c>
      <c r="R102" s="147">
        <f t="shared" si="221"/>
        <v>0</v>
      </c>
      <c r="S102" s="147">
        <f t="shared" si="222"/>
        <v>0</v>
      </c>
      <c r="T102" s="147">
        <f t="shared" si="223"/>
        <v>0</v>
      </c>
      <c r="U102" s="145">
        <f t="shared" si="223"/>
        <v>0</v>
      </c>
      <c r="V102" s="147">
        <f t="shared" si="224"/>
        <v>0</v>
      </c>
      <c r="W102" s="147">
        <f t="shared" si="225"/>
        <v>0</v>
      </c>
      <c r="X102" s="147">
        <f t="shared" si="226"/>
        <v>0</v>
      </c>
      <c r="Y102" s="147">
        <f t="shared" si="227"/>
        <v>0</v>
      </c>
      <c r="Z102" s="147">
        <f t="shared" si="228"/>
        <v>0</v>
      </c>
      <c r="AA102" s="147">
        <f t="shared" si="229"/>
        <v>0</v>
      </c>
      <c r="AB102" s="145">
        <f t="shared" si="230"/>
        <v>0</v>
      </c>
      <c r="AC102" s="147">
        <f t="shared" si="231"/>
        <v>0</v>
      </c>
      <c r="AD102" s="147">
        <f t="shared" si="232"/>
        <v>0</v>
      </c>
      <c r="AE102" s="147">
        <f t="shared" si="233"/>
        <v>0</v>
      </c>
      <c r="AF102" s="147">
        <f t="shared" si="234"/>
        <v>0</v>
      </c>
      <c r="AG102" s="147">
        <f t="shared" si="235"/>
        <v>0</v>
      </c>
      <c r="AH102" s="147">
        <f t="shared" si="236"/>
        <v>0</v>
      </c>
      <c r="AI102" s="147">
        <f t="shared" si="237"/>
        <v>0</v>
      </c>
      <c r="AJ102" s="147">
        <f t="shared" si="238"/>
        <v>0</v>
      </c>
      <c r="AK102" s="145">
        <f t="shared" si="239"/>
        <v>0</v>
      </c>
      <c r="AL102" s="147">
        <f t="shared" si="240"/>
        <v>0</v>
      </c>
      <c r="AM102" s="147">
        <f t="shared" si="241"/>
        <v>0</v>
      </c>
      <c r="AN102" s="147">
        <f t="shared" si="242"/>
        <v>0</v>
      </c>
      <c r="AO102" s="147">
        <f t="shared" si="243"/>
        <v>0</v>
      </c>
      <c r="AP102" s="147">
        <f t="shared" si="243"/>
        <v>0</v>
      </c>
      <c r="AQ102" s="147">
        <f t="shared" si="244"/>
        <v>0</v>
      </c>
      <c r="AR102" s="147">
        <f t="shared" si="245"/>
        <v>0</v>
      </c>
      <c r="AS102" s="198">
        <f t="shared" si="246"/>
        <v>0</v>
      </c>
      <c r="AT102" s="147">
        <v>0</v>
      </c>
      <c r="AU102" s="147"/>
      <c r="AV102" s="147"/>
      <c r="AW102" s="147"/>
      <c r="AX102" s="147"/>
      <c r="AY102" s="147"/>
      <c r="AZ102" s="147"/>
      <c r="BA102" s="147"/>
      <c r="BB102" s="147"/>
      <c r="BC102" s="147"/>
      <c r="BD102" s="147"/>
      <c r="BE102" s="147"/>
      <c r="BF102" s="145"/>
      <c r="BG102" s="199"/>
      <c r="BH102" s="147"/>
      <c r="BI102" s="147"/>
      <c r="BJ102" s="147"/>
      <c r="BK102" s="147"/>
      <c r="BL102" s="147"/>
      <c r="BM102" s="147"/>
      <c r="BN102" s="147"/>
      <c r="BO102" s="199"/>
      <c r="BP102" s="147"/>
      <c r="BQ102" s="147"/>
      <c r="BR102" s="145"/>
      <c r="BS102" s="199"/>
      <c r="BT102" s="147"/>
      <c r="BU102" s="147"/>
      <c r="BV102" s="147"/>
      <c r="BW102" s="147"/>
      <c r="BX102" s="147"/>
      <c r="BY102" s="147"/>
      <c r="BZ102" s="147"/>
      <c r="CA102" s="147"/>
      <c r="CB102" s="145"/>
      <c r="CC102" s="147"/>
      <c r="CD102" s="147"/>
      <c r="CE102" s="147"/>
      <c r="CF102" s="147"/>
      <c r="CG102" s="147"/>
      <c r="CH102" s="147"/>
      <c r="CI102" s="147"/>
      <c r="CJ102" s="147"/>
      <c r="CK102" s="198"/>
      <c r="CL102" s="163"/>
    </row>
    <row r="103" spans="1:90">
      <c r="A103" s="93">
        <f>ROWS($A$3:A101)</f>
        <v>99</v>
      </c>
      <c r="B103" s="63"/>
      <c r="C103" s="243"/>
      <c r="D103" s="314"/>
      <c r="E103" s="333"/>
      <c r="F103" s="194"/>
      <c r="G103" s="195"/>
      <c r="H103" s="195"/>
      <c r="I103" s="196"/>
      <c r="J103" s="348"/>
      <c r="K103" s="197">
        <f t="shared" si="216"/>
        <v>0</v>
      </c>
      <c r="L103" s="147">
        <f t="shared" si="217"/>
        <v>0</v>
      </c>
      <c r="M103" s="147">
        <f t="shared" si="218"/>
        <v>0</v>
      </c>
      <c r="N103" s="147">
        <f t="shared" si="219"/>
        <v>0</v>
      </c>
      <c r="O103" s="147">
        <f t="shared" si="220"/>
        <v>0</v>
      </c>
      <c r="P103" s="147">
        <f>'2008'!AZ103+'2008'!BA103</f>
        <v>0</v>
      </c>
      <c r="Q103" s="147">
        <f>'2008'!AU103</f>
        <v>0</v>
      </c>
      <c r="R103" s="147">
        <f t="shared" si="221"/>
        <v>0</v>
      </c>
      <c r="S103" s="147">
        <f t="shared" si="222"/>
        <v>0</v>
      </c>
      <c r="T103" s="147">
        <f t="shared" si="223"/>
        <v>0</v>
      </c>
      <c r="U103" s="145">
        <f t="shared" si="223"/>
        <v>0</v>
      </c>
      <c r="V103" s="147">
        <f t="shared" si="224"/>
        <v>0</v>
      </c>
      <c r="W103" s="147">
        <f t="shared" si="225"/>
        <v>0</v>
      </c>
      <c r="X103" s="147">
        <f t="shared" si="226"/>
        <v>0</v>
      </c>
      <c r="Y103" s="147">
        <f t="shared" si="227"/>
        <v>0</v>
      </c>
      <c r="Z103" s="147">
        <f t="shared" si="228"/>
        <v>0</v>
      </c>
      <c r="AA103" s="147">
        <f t="shared" si="229"/>
        <v>0</v>
      </c>
      <c r="AB103" s="145">
        <f t="shared" si="230"/>
        <v>0</v>
      </c>
      <c r="AC103" s="147">
        <f t="shared" si="231"/>
        <v>0</v>
      </c>
      <c r="AD103" s="147">
        <f t="shared" si="232"/>
        <v>0</v>
      </c>
      <c r="AE103" s="147">
        <f t="shared" si="233"/>
        <v>0</v>
      </c>
      <c r="AF103" s="147">
        <f t="shared" si="234"/>
        <v>0</v>
      </c>
      <c r="AG103" s="147">
        <f t="shared" si="235"/>
        <v>0</v>
      </c>
      <c r="AH103" s="147">
        <f t="shared" si="236"/>
        <v>0</v>
      </c>
      <c r="AI103" s="147">
        <f t="shared" si="237"/>
        <v>0</v>
      </c>
      <c r="AJ103" s="147">
        <f t="shared" si="238"/>
        <v>0</v>
      </c>
      <c r="AK103" s="145">
        <f t="shared" si="239"/>
        <v>0</v>
      </c>
      <c r="AL103" s="147">
        <f t="shared" si="240"/>
        <v>0</v>
      </c>
      <c r="AM103" s="147">
        <f t="shared" si="241"/>
        <v>0</v>
      </c>
      <c r="AN103" s="147">
        <f t="shared" si="242"/>
        <v>0</v>
      </c>
      <c r="AO103" s="147">
        <f t="shared" si="243"/>
        <v>0</v>
      </c>
      <c r="AP103" s="147">
        <f t="shared" si="243"/>
        <v>0</v>
      </c>
      <c r="AQ103" s="147">
        <f t="shared" si="244"/>
        <v>0</v>
      </c>
      <c r="AR103" s="147">
        <f t="shared" si="245"/>
        <v>0</v>
      </c>
      <c r="AS103" s="198">
        <f t="shared" si="246"/>
        <v>0</v>
      </c>
      <c r="AT103" s="147">
        <v>0</v>
      </c>
      <c r="AU103" s="147"/>
      <c r="AV103" s="147"/>
      <c r="AW103" s="147"/>
      <c r="AX103" s="147"/>
      <c r="AY103" s="147"/>
      <c r="AZ103" s="147"/>
      <c r="BA103" s="147"/>
      <c r="BB103" s="147"/>
      <c r="BC103" s="147"/>
      <c r="BD103" s="147"/>
      <c r="BE103" s="147"/>
      <c r="BF103" s="145"/>
      <c r="BG103" s="199"/>
      <c r="BH103" s="147"/>
      <c r="BI103" s="147"/>
      <c r="BJ103" s="147"/>
      <c r="BK103" s="147"/>
      <c r="BL103" s="147"/>
      <c r="BM103" s="147"/>
      <c r="BN103" s="147"/>
      <c r="BO103" s="199"/>
      <c r="BP103" s="147"/>
      <c r="BQ103" s="147"/>
      <c r="BR103" s="145"/>
      <c r="BS103" s="199"/>
      <c r="BT103" s="147"/>
      <c r="BU103" s="147"/>
      <c r="BV103" s="147"/>
      <c r="BW103" s="147"/>
      <c r="BX103" s="147"/>
      <c r="BY103" s="147"/>
      <c r="BZ103" s="147"/>
      <c r="CA103" s="147"/>
      <c r="CB103" s="145"/>
      <c r="CC103" s="147"/>
      <c r="CD103" s="147"/>
      <c r="CE103" s="147"/>
      <c r="CF103" s="147"/>
      <c r="CG103" s="147"/>
      <c r="CH103" s="147"/>
      <c r="CI103" s="147"/>
      <c r="CJ103" s="147"/>
      <c r="CK103" s="198"/>
      <c r="CL103" s="163"/>
    </row>
    <row r="104" spans="1:90">
      <c r="A104" s="93">
        <f>ROWS($A$3:A102)</f>
        <v>100</v>
      </c>
      <c r="B104" s="63"/>
      <c r="C104" s="243"/>
      <c r="D104" s="314"/>
      <c r="E104" s="333"/>
      <c r="F104" s="194"/>
      <c r="G104" s="195"/>
      <c r="H104" s="195"/>
      <c r="I104" s="196"/>
      <c r="J104" s="348"/>
      <c r="K104" s="197">
        <f t="shared" si="216"/>
        <v>0</v>
      </c>
      <c r="L104" s="147">
        <f t="shared" si="217"/>
        <v>0</v>
      </c>
      <c r="M104" s="147">
        <f t="shared" si="218"/>
        <v>0</v>
      </c>
      <c r="N104" s="147">
        <f t="shared" si="219"/>
        <v>0</v>
      </c>
      <c r="O104" s="147">
        <f t="shared" si="220"/>
        <v>0</v>
      </c>
      <c r="P104" s="147">
        <f>'2008'!AZ104+'2008'!BA104</f>
        <v>0</v>
      </c>
      <c r="Q104" s="147">
        <f>'2008'!AU104</f>
        <v>0</v>
      </c>
      <c r="R104" s="147">
        <f t="shared" si="221"/>
        <v>0</v>
      </c>
      <c r="S104" s="147">
        <f t="shared" si="222"/>
        <v>0</v>
      </c>
      <c r="T104" s="147">
        <f t="shared" si="223"/>
        <v>0</v>
      </c>
      <c r="U104" s="145">
        <f t="shared" si="223"/>
        <v>0</v>
      </c>
      <c r="V104" s="147">
        <f t="shared" si="224"/>
        <v>0</v>
      </c>
      <c r="W104" s="147">
        <f t="shared" si="225"/>
        <v>0</v>
      </c>
      <c r="X104" s="147">
        <f t="shared" si="226"/>
        <v>0</v>
      </c>
      <c r="Y104" s="147">
        <f t="shared" si="227"/>
        <v>0</v>
      </c>
      <c r="Z104" s="147">
        <f t="shared" si="228"/>
        <v>0</v>
      </c>
      <c r="AA104" s="147">
        <f t="shared" si="229"/>
        <v>0</v>
      </c>
      <c r="AB104" s="145">
        <f t="shared" si="230"/>
        <v>0</v>
      </c>
      <c r="AC104" s="147">
        <f t="shared" si="231"/>
        <v>0</v>
      </c>
      <c r="AD104" s="147">
        <f t="shared" si="232"/>
        <v>0</v>
      </c>
      <c r="AE104" s="147">
        <f t="shared" si="233"/>
        <v>0</v>
      </c>
      <c r="AF104" s="147">
        <f t="shared" si="234"/>
        <v>0</v>
      </c>
      <c r="AG104" s="147">
        <f t="shared" si="235"/>
        <v>0</v>
      </c>
      <c r="AH104" s="147">
        <f t="shared" si="236"/>
        <v>0</v>
      </c>
      <c r="AI104" s="147">
        <f t="shared" si="237"/>
        <v>0</v>
      </c>
      <c r="AJ104" s="147">
        <f t="shared" si="238"/>
        <v>0</v>
      </c>
      <c r="AK104" s="145">
        <f t="shared" si="239"/>
        <v>0</v>
      </c>
      <c r="AL104" s="147">
        <f t="shared" si="240"/>
        <v>0</v>
      </c>
      <c r="AM104" s="147">
        <f t="shared" si="241"/>
        <v>0</v>
      </c>
      <c r="AN104" s="147">
        <f t="shared" si="242"/>
        <v>0</v>
      </c>
      <c r="AO104" s="147">
        <f t="shared" si="243"/>
        <v>0</v>
      </c>
      <c r="AP104" s="147">
        <f t="shared" si="243"/>
        <v>0</v>
      </c>
      <c r="AQ104" s="147">
        <f t="shared" si="244"/>
        <v>0</v>
      </c>
      <c r="AR104" s="147">
        <f t="shared" si="245"/>
        <v>0</v>
      </c>
      <c r="AS104" s="198">
        <f t="shared" si="246"/>
        <v>0</v>
      </c>
      <c r="AT104" s="147">
        <v>0</v>
      </c>
      <c r="AU104" s="147"/>
      <c r="AV104" s="147"/>
      <c r="AW104" s="147"/>
      <c r="AX104" s="147"/>
      <c r="AY104" s="147"/>
      <c r="AZ104" s="147"/>
      <c r="BA104" s="147"/>
      <c r="BB104" s="147"/>
      <c r="BC104" s="147"/>
      <c r="BD104" s="147"/>
      <c r="BE104" s="147"/>
      <c r="BF104" s="145"/>
      <c r="BG104" s="199"/>
      <c r="BH104" s="147"/>
      <c r="BI104" s="147"/>
      <c r="BJ104" s="147"/>
      <c r="BK104" s="147"/>
      <c r="BL104" s="147"/>
      <c r="BM104" s="147"/>
      <c r="BN104" s="147"/>
      <c r="BO104" s="199"/>
      <c r="BP104" s="147"/>
      <c r="BQ104" s="147"/>
      <c r="BR104" s="145"/>
      <c r="BS104" s="199"/>
      <c r="BT104" s="147"/>
      <c r="BU104" s="147"/>
      <c r="BV104" s="147"/>
      <c r="BW104" s="147"/>
      <c r="BX104" s="147"/>
      <c r="BY104" s="147"/>
      <c r="BZ104" s="147"/>
      <c r="CA104" s="147"/>
      <c r="CB104" s="145"/>
      <c r="CC104" s="147"/>
      <c r="CD104" s="147"/>
      <c r="CE104" s="147"/>
      <c r="CF104" s="147"/>
      <c r="CG104" s="147"/>
      <c r="CH104" s="147"/>
      <c r="CI104" s="147"/>
      <c r="CJ104" s="147"/>
      <c r="CK104" s="198"/>
      <c r="CL104" s="163"/>
    </row>
    <row r="105" spans="1:90">
      <c r="A105" s="93">
        <f>ROWS($A$3:A103)</f>
        <v>101</v>
      </c>
      <c r="B105" s="63"/>
      <c r="C105" s="243"/>
      <c r="D105" s="314"/>
      <c r="E105" s="333"/>
      <c r="F105" s="194"/>
      <c r="G105" s="195"/>
      <c r="H105" s="195"/>
      <c r="I105" s="196"/>
      <c r="J105" s="348"/>
      <c r="K105" s="197">
        <f t="shared" si="216"/>
        <v>0</v>
      </c>
      <c r="L105" s="147">
        <f t="shared" si="217"/>
        <v>0</v>
      </c>
      <c r="M105" s="147">
        <f t="shared" si="218"/>
        <v>0</v>
      </c>
      <c r="N105" s="147">
        <f t="shared" si="219"/>
        <v>0</v>
      </c>
      <c r="O105" s="147">
        <f t="shared" si="220"/>
        <v>0</v>
      </c>
      <c r="P105" s="147">
        <f>'2008'!AZ105+'2008'!BA105</f>
        <v>0</v>
      </c>
      <c r="Q105" s="147">
        <f>'2008'!AU105</f>
        <v>0</v>
      </c>
      <c r="R105" s="147">
        <f t="shared" si="221"/>
        <v>0</v>
      </c>
      <c r="S105" s="147">
        <f t="shared" si="222"/>
        <v>0</v>
      </c>
      <c r="T105" s="147">
        <f t="shared" si="223"/>
        <v>0</v>
      </c>
      <c r="U105" s="145">
        <f t="shared" si="223"/>
        <v>0</v>
      </c>
      <c r="V105" s="147">
        <f t="shared" si="224"/>
        <v>0</v>
      </c>
      <c r="W105" s="147">
        <f t="shared" si="225"/>
        <v>0</v>
      </c>
      <c r="X105" s="147">
        <f t="shared" si="226"/>
        <v>0</v>
      </c>
      <c r="Y105" s="147">
        <f t="shared" si="227"/>
        <v>0</v>
      </c>
      <c r="Z105" s="147">
        <f t="shared" si="228"/>
        <v>0</v>
      </c>
      <c r="AA105" s="147">
        <f t="shared" si="229"/>
        <v>0</v>
      </c>
      <c r="AB105" s="145">
        <f t="shared" si="230"/>
        <v>0</v>
      </c>
      <c r="AC105" s="147">
        <f t="shared" si="231"/>
        <v>0</v>
      </c>
      <c r="AD105" s="147">
        <f t="shared" si="232"/>
        <v>0</v>
      </c>
      <c r="AE105" s="147">
        <f t="shared" si="233"/>
        <v>0</v>
      </c>
      <c r="AF105" s="147">
        <f t="shared" si="234"/>
        <v>0</v>
      </c>
      <c r="AG105" s="147">
        <f t="shared" si="235"/>
        <v>0</v>
      </c>
      <c r="AH105" s="147">
        <f t="shared" si="236"/>
        <v>0</v>
      </c>
      <c r="AI105" s="147">
        <f t="shared" si="237"/>
        <v>0</v>
      </c>
      <c r="AJ105" s="147">
        <f t="shared" si="238"/>
        <v>0</v>
      </c>
      <c r="AK105" s="145">
        <f t="shared" si="239"/>
        <v>0</v>
      </c>
      <c r="AL105" s="147">
        <f t="shared" si="240"/>
        <v>0</v>
      </c>
      <c r="AM105" s="147">
        <f t="shared" si="241"/>
        <v>0</v>
      </c>
      <c r="AN105" s="147">
        <f t="shared" si="242"/>
        <v>0</v>
      </c>
      <c r="AO105" s="147">
        <f t="shared" si="243"/>
        <v>0</v>
      </c>
      <c r="AP105" s="147">
        <f t="shared" si="243"/>
        <v>0</v>
      </c>
      <c r="AQ105" s="147">
        <f t="shared" si="244"/>
        <v>0</v>
      </c>
      <c r="AR105" s="147">
        <f t="shared" si="245"/>
        <v>0</v>
      </c>
      <c r="AS105" s="198">
        <f t="shared" si="246"/>
        <v>0</v>
      </c>
      <c r="AT105" s="147">
        <v>0</v>
      </c>
      <c r="AU105" s="147"/>
      <c r="AV105" s="147"/>
      <c r="AW105" s="147"/>
      <c r="AX105" s="147"/>
      <c r="AY105" s="147"/>
      <c r="AZ105" s="147"/>
      <c r="BA105" s="147"/>
      <c r="BB105" s="147"/>
      <c r="BC105" s="147"/>
      <c r="BD105" s="147"/>
      <c r="BE105" s="147"/>
      <c r="BF105" s="145"/>
      <c r="BG105" s="199"/>
      <c r="BH105" s="147"/>
      <c r="BI105" s="147"/>
      <c r="BJ105" s="147"/>
      <c r="BK105" s="147"/>
      <c r="BL105" s="147"/>
      <c r="BM105" s="147"/>
      <c r="BN105" s="147"/>
      <c r="BO105" s="199"/>
      <c r="BP105" s="147"/>
      <c r="BQ105" s="147"/>
      <c r="BR105" s="145"/>
      <c r="BS105" s="199"/>
      <c r="BT105" s="147"/>
      <c r="BU105" s="147"/>
      <c r="BV105" s="147"/>
      <c r="BW105" s="147"/>
      <c r="BX105" s="147"/>
      <c r="BY105" s="147"/>
      <c r="BZ105" s="147"/>
      <c r="CA105" s="147"/>
      <c r="CB105" s="145"/>
      <c r="CC105" s="147"/>
      <c r="CD105" s="147"/>
      <c r="CE105" s="147"/>
      <c r="CF105" s="147"/>
      <c r="CG105" s="147"/>
      <c r="CH105" s="147"/>
      <c r="CI105" s="147"/>
      <c r="CJ105" s="147"/>
      <c r="CK105" s="198"/>
      <c r="CL105" s="163"/>
    </row>
    <row r="106" spans="1:90">
      <c r="A106" s="93">
        <f>ROWS($A$3:A104)</f>
        <v>102</v>
      </c>
      <c r="B106" s="63"/>
      <c r="C106" s="243"/>
      <c r="D106" s="314"/>
      <c r="E106" s="333"/>
      <c r="F106" s="194"/>
      <c r="G106" s="195"/>
      <c r="H106" s="195"/>
      <c r="I106" s="196"/>
      <c r="J106" s="348"/>
      <c r="K106" s="197">
        <f t="shared" si="216"/>
        <v>0</v>
      </c>
      <c r="L106" s="147">
        <f t="shared" si="217"/>
        <v>0</v>
      </c>
      <c r="M106" s="147">
        <f t="shared" si="218"/>
        <v>0</v>
      </c>
      <c r="N106" s="147">
        <f t="shared" si="219"/>
        <v>0</v>
      </c>
      <c r="O106" s="147">
        <f t="shared" si="220"/>
        <v>0</v>
      </c>
      <c r="P106" s="147">
        <f>'2008'!AZ106+'2008'!BA106</f>
        <v>0</v>
      </c>
      <c r="Q106" s="147">
        <f>'2008'!AU106</f>
        <v>0</v>
      </c>
      <c r="R106" s="147">
        <f t="shared" si="221"/>
        <v>0</v>
      </c>
      <c r="S106" s="147">
        <f t="shared" si="222"/>
        <v>0</v>
      </c>
      <c r="T106" s="147">
        <f t="shared" si="223"/>
        <v>0</v>
      </c>
      <c r="U106" s="145">
        <f t="shared" si="223"/>
        <v>0</v>
      </c>
      <c r="V106" s="147">
        <f t="shared" si="224"/>
        <v>0</v>
      </c>
      <c r="W106" s="147">
        <f t="shared" si="225"/>
        <v>0</v>
      </c>
      <c r="X106" s="147">
        <f t="shared" si="226"/>
        <v>0</v>
      </c>
      <c r="Y106" s="147">
        <f t="shared" si="227"/>
        <v>0</v>
      </c>
      <c r="Z106" s="147">
        <f t="shared" si="228"/>
        <v>0</v>
      </c>
      <c r="AA106" s="147">
        <f t="shared" si="229"/>
        <v>0</v>
      </c>
      <c r="AB106" s="145">
        <f t="shared" si="230"/>
        <v>0</v>
      </c>
      <c r="AC106" s="147">
        <f t="shared" si="231"/>
        <v>0</v>
      </c>
      <c r="AD106" s="147">
        <f t="shared" si="232"/>
        <v>0</v>
      </c>
      <c r="AE106" s="147">
        <f t="shared" si="233"/>
        <v>0</v>
      </c>
      <c r="AF106" s="147">
        <f t="shared" si="234"/>
        <v>0</v>
      </c>
      <c r="AG106" s="147">
        <f t="shared" si="235"/>
        <v>0</v>
      </c>
      <c r="AH106" s="147">
        <f t="shared" si="236"/>
        <v>0</v>
      </c>
      <c r="AI106" s="147">
        <f t="shared" si="237"/>
        <v>0</v>
      </c>
      <c r="AJ106" s="147">
        <f t="shared" si="238"/>
        <v>0</v>
      </c>
      <c r="AK106" s="145">
        <f t="shared" si="239"/>
        <v>0</v>
      </c>
      <c r="AL106" s="147">
        <f t="shared" si="240"/>
        <v>0</v>
      </c>
      <c r="AM106" s="147">
        <f t="shared" si="241"/>
        <v>0</v>
      </c>
      <c r="AN106" s="147">
        <f t="shared" si="242"/>
        <v>0</v>
      </c>
      <c r="AO106" s="147">
        <f t="shared" si="243"/>
        <v>0</v>
      </c>
      <c r="AP106" s="147">
        <f t="shared" si="243"/>
        <v>0</v>
      </c>
      <c r="AQ106" s="147">
        <f t="shared" si="244"/>
        <v>0</v>
      </c>
      <c r="AR106" s="147">
        <f t="shared" si="245"/>
        <v>0</v>
      </c>
      <c r="AS106" s="198">
        <f t="shared" si="246"/>
        <v>0</v>
      </c>
      <c r="AT106" s="147">
        <v>0</v>
      </c>
      <c r="AU106" s="147"/>
      <c r="AV106" s="147"/>
      <c r="AW106" s="147"/>
      <c r="AX106" s="147"/>
      <c r="AY106" s="147"/>
      <c r="AZ106" s="147"/>
      <c r="BA106" s="147"/>
      <c r="BB106" s="147"/>
      <c r="BC106" s="147"/>
      <c r="BD106" s="147"/>
      <c r="BE106" s="147"/>
      <c r="BF106" s="145"/>
      <c r="BG106" s="199"/>
      <c r="BH106" s="147"/>
      <c r="BI106" s="147"/>
      <c r="BJ106" s="147"/>
      <c r="BK106" s="147"/>
      <c r="BL106" s="147"/>
      <c r="BM106" s="147"/>
      <c r="BN106" s="147"/>
      <c r="BO106" s="199"/>
      <c r="BP106" s="147"/>
      <c r="BQ106" s="147"/>
      <c r="BR106" s="145"/>
      <c r="BS106" s="199"/>
      <c r="BT106" s="147"/>
      <c r="BU106" s="147"/>
      <c r="BV106" s="147"/>
      <c r="BW106" s="147"/>
      <c r="BX106" s="147"/>
      <c r="BY106" s="147"/>
      <c r="BZ106" s="147"/>
      <c r="CA106" s="147"/>
      <c r="CB106" s="145"/>
      <c r="CC106" s="147"/>
      <c r="CD106" s="147"/>
      <c r="CE106" s="147"/>
      <c r="CF106" s="147"/>
      <c r="CG106" s="147"/>
      <c r="CH106" s="147"/>
      <c r="CI106" s="147"/>
      <c r="CJ106" s="147"/>
      <c r="CK106" s="198"/>
      <c r="CL106" s="163"/>
    </row>
    <row r="107" spans="1:90" ht="13.5" thickBot="1">
      <c r="A107" s="93">
        <f>ROWS($A$3:A105)</f>
        <v>103</v>
      </c>
      <c r="B107" s="64"/>
      <c r="C107" s="246"/>
      <c r="D107" s="338"/>
      <c r="E107" s="339"/>
      <c r="F107" s="200"/>
      <c r="G107" s="201"/>
      <c r="H107" s="201"/>
      <c r="I107" s="202"/>
      <c r="J107" s="201"/>
      <c r="K107" s="203">
        <f t="shared" si="216"/>
        <v>0</v>
      </c>
      <c r="L107" s="204">
        <f t="shared" si="217"/>
        <v>0</v>
      </c>
      <c r="M107" s="204">
        <f t="shared" si="218"/>
        <v>0</v>
      </c>
      <c r="N107" s="204">
        <f t="shared" si="219"/>
        <v>0</v>
      </c>
      <c r="O107" s="204">
        <f t="shared" si="220"/>
        <v>0</v>
      </c>
      <c r="P107" s="204">
        <f>'2008'!AZ107+'2008'!BA107</f>
        <v>0</v>
      </c>
      <c r="Q107" s="204">
        <f>'2008'!AU107</f>
        <v>0</v>
      </c>
      <c r="R107" s="204">
        <f t="shared" si="221"/>
        <v>0</v>
      </c>
      <c r="S107" s="204">
        <f t="shared" si="222"/>
        <v>0</v>
      </c>
      <c r="T107" s="204">
        <f t="shared" si="223"/>
        <v>0</v>
      </c>
      <c r="U107" s="149">
        <f t="shared" si="223"/>
        <v>0</v>
      </c>
      <c r="V107" s="204">
        <f t="shared" si="224"/>
        <v>0</v>
      </c>
      <c r="W107" s="204">
        <f t="shared" si="225"/>
        <v>0</v>
      </c>
      <c r="X107" s="204">
        <f t="shared" si="226"/>
        <v>0</v>
      </c>
      <c r="Y107" s="204">
        <f t="shared" si="227"/>
        <v>0</v>
      </c>
      <c r="Z107" s="204">
        <f t="shared" si="228"/>
        <v>0</v>
      </c>
      <c r="AA107" s="204">
        <f t="shared" si="229"/>
        <v>0</v>
      </c>
      <c r="AB107" s="149">
        <f t="shared" si="230"/>
        <v>0</v>
      </c>
      <c r="AC107" s="204">
        <f t="shared" si="231"/>
        <v>0</v>
      </c>
      <c r="AD107" s="204">
        <f t="shared" si="232"/>
        <v>0</v>
      </c>
      <c r="AE107" s="204">
        <f t="shared" si="233"/>
        <v>0</v>
      </c>
      <c r="AF107" s="204">
        <f t="shared" si="234"/>
        <v>0</v>
      </c>
      <c r="AG107" s="204">
        <f t="shared" si="235"/>
        <v>0</v>
      </c>
      <c r="AH107" s="204">
        <f t="shared" si="236"/>
        <v>0</v>
      </c>
      <c r="AI107" s="204">
        <f t="shared" si="237"/>
        <v>0</v>
      </c>
      <c r="AJ107" s="204">
        <f t="shared" si="238"/>
        <v>0</v>
      </c>
      <c r="AK107" s="149">
        <f t="shared" si="239"/>
        <v>0</v>
      </c>
      <c r="AL107" s="204">
        <f t="shared" si="240"/>
        <v>0</v>
      </c>
      <c r="AM107" s="204">
        <f t="shared" si="241"/>
        <v>0</v>
      </c>
      <c r="AN107" s="204">
        <f t="shared" si="242"/>
        <v>0</v>
      </c>
      <c r="AO107" s="204">
        <f t="shared" si="243"/>
        <v>0</v>
      </c>
      <c r="AP107" s="204">
        <f t="shared" si="243"/>
        <v>0</v>
      </c>
      <c r="AQ107" s="204">
        <f t="shared" si="244"/>
        <v>0</v>
      </c>
      <c r="AR107" s="204">
        <f t="shared" si="245"/>
        <v>0</v>
      </c>
      <c r="AS107" s="205">
        <f t="shared" si="246"/>
        <v>0</v>
      </c>
      <c r="AT107" s="204">
        <v>0</v>
      </c>
      <c r="AU107" s="204"/>
      <c r="AV107" s="204"/>
      <c r="AW107" s="204"/>
      <c r="AX107" s="204"/>
      <c r="AY107" s="204"/>
      <c r="AZ107" s="204"/>
      <c r="BA107" s="204"/>
      <c r="BB107" s="204"/>
      <c r="BC107" s="204"/>
      <c r="BD107" s="204"/>
      <c r="BE107" s="204"/>
      <c r="BF107" s="149"/>
      <c r="BG107" s="206"/>
      <c r="BH107" s="204"/>
      <c r="BI107" s="204"/>
      <c r="BJ107" s="204"/>
      <c r="BK107" s="204"/>
      <c r="BL107" s="204"/>
      <c r="BM107" s="204"/>
      <c r="BN107" s="204"/>
      <c r="BO107" s="206"/>
      <c r="BP107" s="204"/>
      <c r="BQ107" s="204"/>
      <c r="BR107" s="149"/>
      <c r="BS107" s="206"/>
      <c r="BT107" s="204"/>
      <c r="BU107" s="204"/>
      <c r="BV107" s="204"/>
      <c r="BW107" s="204"/>
      <c r="BX107" s="204"/>
      <c r="BY107" s="204"/>
      <c r="BZ107" s="204"/>
      <c r="CA107" s="204"/>
      <c r="CB107" s="149"/>
      <c r="CC107" s="204"/>
      <c r="CD107" s="204"/>
      <c r="CE107" s="204"/>
      <c r="CF107" s="204"/>
      <c r="CG107" s="204"/>
      <c r="CH107" s="204"/>
      <c r="CI107" s="204"/>
      <c r="CJ107" s="204"/>
      <c r="CK107" s="205"/>
      <c r="CL107" s="164"/>
    </row>
    <row r="108" spans="1:90">
      <c r="B108" s="65"/>
      <c r="C108" s="243"/>
      <c r="D108" s="55"/>
      <c r="E108" s="80"/>
      <c r="F108" s="195"/>
      <c r="G108" s="195"/>
      <c r="H108" s="195"/>
      <c r="I108" s="195"/>
      <c r="J108" s="195"/>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99"/>
      <c r="BH108" s="147"/>
      <c r="BI108" s="147"/>
      <c r="BJ108" s="147"/>
      <c r="BK108" s="147"/>
      <c r="BL108" s="147"/>
      <c r="BM108" s="147"/>
      <c r="BN108" s="147"/>
      <c r="BO108" s="199"/>
      <c r="BP108" s="147"/>
      <c r="BQ108" s="147"/>
      <c r="BR108" s="147"/>
      <c r="BS108" s="199"/>
      <c r="BT108" s="147"/>
      <c r="BU108" s="147"/>
      <c r="BV108" s="147"/>
      <c r="BW108" s="147"/>
      <c r="BX108" s="147"/>
      <c r="BY108" s="147"/>
      <c r="BZ108" s="147"/>
      <c r="CA108" s="147"/>
      <c r="CB108" s="147"/>
      <c r="CC108" s="147"/>
      <c r="CD108" s="147"/>
      <c r="CE108" s="147"/>
      <c r="CF108" s="147"/>
      <c r="CG108" s="147"/>
      <c r="CH108" s="147"/>
      <c r="CI108" s="147"/>
      <c r="CJ108" s="147"/>
      <c r="CK108" s="147"/>
      <c r="CL108" s="165"/>
    </row>
    <row r="109" spans="1:90">
      <c r="B109" s="83" t="s">
        <v>225</v>
      </c>
    </row>
    <row r="110" spans="1:90">
      <c r="B110" s="85" t="s">
        <v>220</v>
      </c>
    </row>
    <row r="111" spans="1:90">
      <c r="B111" s="85" t="s">
        <v>221</v>
      </c>
    </row>
    <row r="112" spans="1:90">
      <c r="B112" s="85" t="s">
        <v>222</v>
      </c>
    </row>
    <row r="113" spans="1:90">
      <c r="B113" s="84"/>
    </row>
    <row r="114" spans="1:90">
      <c r="B114" s="85" t="s">
        <v>83</v>
      </c>
    </row>
    <row r="115" spans="1:90">
      <c r="B115" s="85" t="s">
        <v>223</v>
      </c>
    </row>
    <row r="116" spans="1:90">
      <c r="B116" s="85" t="s">
        <v>228</v>
      </c>
    </row>
    <row r="118" spans="1:90" s="80" customFormat="1" ht="11.25">
      <c r="A118" s="413"/>
      <c r="B118" s="420" t="s">
        <v>66</v>
      </c>
      <c r="C118" s="406"/>
      <c r="D118" s="415" t="s">
        <v>12</v>
      </c>
      <c r="E118" s="416">
        <v>40679</v>
      </c>
      <c r="F118" s="407">
        <v>34700</v>
      </c>
      <c r="G118" s="407">
        <v>15200</v>
      </c>
      <c r="H118" s="407">
        <v>27800</v>
      </c>
      <c r="I118" s="407">
        <v>22600</v>
      </c>
      <c r="J118" s="408"/>
      <c r="K118" s="407">
        <f>BF118</f>
        <v>3500</v>
      </c>
      <c r="L118" s="407">
        <f>AY118</f>
        <v>3700</v>
      </c>
      <c r="M118" s="407">
        <f>BD118</f>
        <v>2700</v>
      </c>
      <c r="N118" s="407">
        <f>AW118</f>
        <v>1600</v>
      </c>
      <c r="O118" s="407">
        <f>BE118</f>
        <v>1100</v>
      </c>
      <c r="P118" s="407">
        <f>'2008'!AZ118+'2008'!BA118</f>
        <v>5600</v>
      </c>
      <c r="Q118" s="407">
        <f>'2008'!AU118</f>
        <v>1800</v>
      </c>
      <c r="R118" s="407">
        <f>AT118+AX118</f>
        <v>6300</v>
      </c>
      <c r="S118" s="407">
        <f>AV118</f>
        <v>2500</v>
      </c>
      <c r="T118" s="407">
        <f>BB118</f>
        <v>2400</v>
      </c>
      <c r="U118" s="407">
        <f>BC118</f>
        <v>3500</v>
      </c>
      <c r="V118" s="407">
        <f>BG118+BJ118</f>
        <v>2400</v>
      </c>
      <c r="W118" s="407">
        <f>BR118</f>
        <v>1200</v>
      </c>
      <c r="X118" s="407">
        <f>BH118+BI118</f>
        <v>3100</v>
      </c>
      <c r="Y118" s="407">
        <f>BK118+BL118+BN118</f>
        <v>4000</v>
      </c>
      <c r="Z118" s="407">
        <f>BM118</f>
        <v>1800</v>
      </c>
      <c r="AA118" s="407">
        <f>BO118+BQ118</f>
        <v>1500</v>
      </c>
      <c r="AB118" s="407">
        <f>BP118</f>
        <v>1300</v>
      </c>
      <c r="AC118" s="407">
        <f>BX118</f>
        <v>1900</v>
      </c>
      <c r="AD118" s="407">
        <f>BU118</f>
        <v>2900</v>
      </c>
      <c r="AE118" s="407">
        <f>BS118+BT118</f>
        <v>6100</v>
      </c>
      <c r="AF118" s="407">
        <f>CA118</f>
        <v>2300</v>
      </c>
      <c r="AG118" s="407">
        <f>BV118</f>
        <v>7100</v>
      </c>
      <c r="AH118" s="407">
        <f>BZ118</f>
        <v>3000</v>
      </c>
      <c r="AI118" s="407">
        <f>BW118</f>
        <v>1500</v>
      </c>
      <c r="AJ118" s="407">
        <f>BY118</f>
        <v>900</v>
      </c>
      <c r="AK118" s="407">
        <f>CB118</f>
        <v>2200</v>
      </c>
      <c r="AL118" s="407">
        <f>CE118</f>
        <v>1600</v>
      </c>
      <c r="AM118" s="407">
        <f>CH118</f>
        <v>3300</v>
      </c>
      <c r="AN118" s="407">
        <f>CJ118</f>
        <v>4700</v>
      </c>
      <c r="AO118" s="407">
        <f>CC118</f>
        <v>2600</v>
      </c>
      <c r="AP118" s="407">
        <f>CD118</f>
        <v>1100</v>
      </c>
      <c r="AQ118" s="407">
        <f>CK118</f>
        <v>2400</v>
      </c>
      <c r="AR118" s="407">
        <f>CI118</f>
        <v>3500</v>
      </c>
      <c r="AS118" s="407">
        <f>CF118+CG118</f>
        <v>3400</v>
      </c>
      <c r="AT118" s="408">
        <v>1700</v>
      </c>
      <c r="AU118" s="408">
        <v>1800</v>
      </c>
      <c r="AV118" s="408">
        <v>2500</v>
      </c>
      <c r="AW118" s="408">
        <v>1600</v>
      </c>
      <c r="AX118" s="408">
        <v>4600</v>
      </c>
      <c r="AY118" s="407">
        <v>3700</v>
      </c>
      <c r="AZ118" s="407">
        <v>700</v>
      </c>
      <c r="BA118" s="407">
        <v>4900</v>
      </c>
      <c r="BB118" s="407">
        <v>2400</v>
      </c>
      <c r="BC118" s="407">
        <v>3500</v>
      </c>
      <c r="BD118" s="407">
        <v>2700</v>
      </c>
      <c r="BE118" s="407">
        <v>1100</v>
      </c>
      <c r="BF118" s="407">
        <v>3500</v>
      </c>
      <c r="BG118" s="407">
        <v>600</v>
      </c>
      <c r="BH118" s="407">
        <v>500</v>
      </c>
      <c r="BI118" s="407">
        <v>2600</v>
      </c>
      <c r="BJ118" s="407">
        <v>1800</v>
      </c>
      <c r="BK118" s="407">
        <v>500</v>
      </c>
      <c r="BL118" s="407">
        <v>600</v>
      </c>
      <c r="BM118" s="407">
        <v>1800</v>
      </c>
      <c r="BN118" s="407">
        <v>2900</v>
      </c>
      <c r="BO118" s="407">
        <v>300</v>
      </c>
      <c r="BP118" s="407">
        <v>1300</v>
      </c>
      <c r="BQ118" s="407">
        <v>1200</v>
      </c>
      <c r="BR118" s="407">
        <v>1200</v>
      </c>
      <c r="BS118" s="407">
        <v>600</v>
      </c>
      <c r="BT118" s="407">
        <v>5500</v>
      </c>
      <c r="BU118" s="407">
        <v>2900</v>
      </c>
      <c r="BV118" s="407">
        <v>7100</v>
      </c>
      <c r="BW118" s="407">
        <v>1500</v>
      </c>
      <c r="BX118" s="407">
        <v>1900</v>
      </c>
      <c r="BY118" s="407">
        <v>900</v>
      </c>
      <c r="BZ118" s="407">
        <v>3000</v>
      </c>
      <c r="CA118" s="407">
        <v>2300</v>
      </c>
      <c r="CB118" s="407">
        <v>2200</v>
      </c>
      <c r="CC118" s="407">
        <v>2600</v>
      </c>
      <c r="CD118" s="407">
        <v>1100</v>
      </c>
      <c r="CE118" s="407">
        <v>1600</v>
      </c>
      <c r="CF118" s="407">
        <v>400</v>
      </c>
      <c r="CG118" s="407">
        <v>3000</v>
      </c>
      <c r="CH118" s="407">
        <v>3300</v>
      </c>
      <c r="CI118" s="407">
        <v>3500</v>
      </c>
      <c r="CJ118" s="407">
        <v>4700</v>
      </c>
      <c r="CK118" s="407">
        <v>2400</v>
      </c>
      <c r="CL118" s="407">
        <v>100300</v>
      </c>
    </row>
    <row r="119" spans="1:90" s="80" customFormat="1" ht="11.25">
      <c r="A119" s="413"/>
      <c r="B119" s="420" t="s">
        <v>305</v>
      </c>
      <c r="C119" s="409"/>
      <c r="D119" s="415" t="s">
        <v>3</v>
      </c>
      <c r="E119" s="415"/>
      <c r="F119" s="410">
        <v>0.77400000000000002</v>
      </c>
      <c r="G119" s="410">
        <v>0.39100000000000001</v>
      </c>
      <c r="H119" s="410">
        <v>0.53300000000000003</v>
      </c>
      <c r="I119" s="410">
        <v>0.48099999999999998</v>
      </c>
      <c r="J119" s="410"/>
      <c r="K119" s="412">
        <f>BF119</f>
        <v>8.1000000000000003E-2</v>
      </c>
      <c r="L119" s="410">
        <f>AY119</f>
        <v>7.8E-2</v>
      </c>
      <c r="M119" s="410">
        <f>BD119</f>
        <v>5.8000000000000003E-2</v>
      </c>
      <c r="N119" s="410">
        <f>AW119</f>
        <v>3.3000000000000002E-2</v>
      </c>
      <c r="O119" s="410">
        <f>BE119</f>
        <v>0.03</v>
      </c>
      <c r="P119" s="411">
        <f>AZ119+BA119</f>
        <v>0.107</v>
      </c>
      <c r="Q119" s="412"/>
      <c r="R119" s="411">
        <f>AT119+AX119</f>
        <v>0.13899999999999998</v>
      </c>
      <c r="S119" s="410">
        <f>AV119</f>
        <v>5.7000000000000002E-2</v>
      </c>
      <c r="T119" s="410">
        <f>BB119</f>
        <v>5.8999999999999997E-2</v>
      </c>
      <c r="U119" s="412">
        <f>BC119</f>
        <v>9.1999999999999998E-2</v>
      </c>
      <c r="V119" s="411">
        <f>BG119+BJ119</f>
        <v>6.2E-2</v>
      </c>
      <c r="W119" s="410">
        <f>BR119</f>
        <v>2.5999999999999999E-2</v>
      </c>
      <c r="X119" s="411">
        <f>BH119+BI119</f>
        <v>7.8E-2</v>
      </c>
      <c r="Y119" s="411">
        <f>BK119+BL119+BN119</f>
        <v>0.109</v>
      </c>
      <c r="Z119" s="410">
        <f>BM119</f>
        <v>4.3999999999999997E-2</v>
      </c>
      <c r="AA119" s="411">
        <f>BO119+BQ119</f>
        <v>3.9E-2</v>
      </c>
      <c r="AB119" s="412">
        <f>BP119</f>
        <v>3.5000000000000003E-2</v>
      </c>
      <c r="AC119" s="410">
        <f>BX119</f>
        <v>3.6999999999999998E-2</v>
      </c>
      <c r="AD119" s="410">
        <f>BU119</f>
        <v>4.7E-2</v>
      </c>
      <c r="AE119" s="411">
        <f>BS119+BT119</f>
        <v>0.112</v>
      </c>
      <c r="AF119" s="410">
        <f>CA119</f>
        <v>4.3999999999999997E-2</v>
      </c>
      <c r="AG119" s="410">
        <f>BV119</f>
        <v>0.13100000000000001</v>
      </c>
      <c r="AH119" s="410">
        <f>BZ119</f>
        <v>7.8E-2</v>
      </c>
      <c r="AI119" s="410">
        <f>BW119</f>
        <v>0.03</v>
      </c>
      <c r="AJ119" s="410">
        <f>BY119</f>
        <v>2.1999999999999999E-2</v>
      </c>
      <c r="AK119" s="412">
        <f>CB119</f>
        <v>3.3000000000000002E-2</v>
      </c>
      <c r="AL119" s="410">
        <f>CE119</f>
        <v>3.5000000000000003E-2</v>
      </c>
      <c r="AM119" s="410">
        <f>CH119</f>
        <v>7.6999999999999999E-2</v>
      </c>
      <c r="AN119" s="410">
        <f>CJ119</f>
        <v>9.9000000000000005E-2</v>
      </c>
      <c r="AO119" s="410">
        <f>CC119</f>
        <v>0.05</v>
      </c>
      <c r="AP119" s="410">
        <f>CD119</f>
        <v>2.3E-2</v>
      </c>
      <c r="AQ119" s="410">
        <f>CK119</f>
        <v>5.2999999999999999E-2</v>
      </c>
      <c r="AR119" s="410">
        <f>CI119</f>
        <v>7.5999999999999998E-2</v>
      </c>
      <c r="AS119" s="411">
        <f>CF119+CG119</f>
        <v>7.0999999999999994E-2</v>
      </c>
      <c r="AT119" s="410">
        <v>5.0999999999999997E-2</v>
      </c>
      <c r="AU119" s="410">
        <v>0.04</v>
      </c>
      <c r="AV119" s="410">
        <v>5.7000000000000002E-2</v>
      </c>
      <c r="AW119" s="410">
        <v>3.3000000000000002E-2</v>
      </c>
      <c r="AX119" s="410">
        <v>8.7999999999999995E-2</v>
      </c>
      <c r="AY119" s="410">
        <v>7.8E-2</v>
      </c>
      <c r="AZ119" s="410">
        <v>1.7999999999999999E-2</v>
      </c>
      <c r="BA119" s="410">
        <v>8.8999999999999996E-2</v>
      </c>
      <c r="BB119" s="410">
        <v>5.8999999999999997E-2</v>
      </c>
      <c r="BC119" s="410">
        <v>9.1999999999999998E-2</v>
      </c>
      <c r="BD119" s="410">
        <v>5.8000000000000003E-2</v>
      </c>
      <c r="BE119" s="410">
        <v>0.03</v>
      </c>
      <c r="BF119" s="410">
        <v>8.1000000000000003E-2</v>
      </c>
      <c r="BG119" s="410">
        <v>1.7999999999999999E-2</v>
      </c>
      <c r="BH119" s="410">
        <v>1.4999999999999999E-2</v>
      </c>
      <c r="BI119" s="410">
        <v>6.3E-2</v>
      </c>
      <c r="BJ119" s="410">
        <v>4.3999999999999997E-2</v>
      </c>
      <c r="BK119" s="410">
        <v>1.4999999999999999E-2</v>
      </c>
      <c r="BL119" s="410">
        <v>1.9E-2</v>
      </c>
      <c r="BM119" s="410">
        <v>4.3999999999999997E-2</v>
      </c>
      <c r="BN119" s="410">
        <v>7.4999999999999997E-2</v>
      </c>
      <c r="BO119" s="410">
        <v>1.2999999999999999E-2</v>
      </c>
      <c r="BP119" s="410">
        <v>3.5000000000000003E-2</v>
      </c>
      <c r="BQ119" s="410">
        <v>2.5999999999999999E-2</v>
      </c>
      <c r="BR119" s="410">
        <v>2.5999999999999999E-2</v>
      </c>
      <c r="BS119" s="410">
        <v>1.6E-2</v>
      </c>
      <c r="BT119" s="410">
        <v>9.6000000000000002E-2</v>
      </c>
      <c r="BU119" s="410">
        <v>4.7E-2</v>
      </c>
      <c r="BV119" s="410">
        <v>0.13100000000000001</v>
      </c>
      <c r="BW119" s="410">
        <v>0.03</v>
      </c>
      <c r="BX119" s="410">
        <v>3.6999999999999998E-2</v>
      </c>
      <c r="BY119" s="410">
        <v>2.1999999999999999E-2</v>
      </c>
      <c r="BZ119" s="410">
        <v>7.8E-2</v>
      </c>
      <c r="CA119" s="410">
        <v>4.3999999999999997E-2</v>
      </c>
      <c r="CB119" s="410">
        <v>3.3000000000000002E-2</v>
      </c>
      <c r="CC119" s="410">
        <v>0.05</v>
      </c>
      <c r="CD119" s="410">
        <v>2.3E-2</v>
      </c>
      <c r="CE119" s="410">
        <v>3.5000000000000003E-2</v>
      </c>
      <c r="CF119" s="410">
        <v>1.0999999999999999E-2</v>
      </c>
      <c r="CG119" s="410">
        <v>0.06</v>
      </c>
      <c r="CH119" s="410">
        <v>7.6999999999999999E-2</v>
      </c>
      <c r="CI119" s="410">
        <v>7.5999999999999998E-2</v>
      </c>
      <c r="CJ119" s="410">
        <v>9.9000000000000005E-2</v>
      </c>
      <c r="CK119" s="410">
        <v>5.2999999999999999E-2</v>
      </c>
      <c r="CL119" s="410">
        <v>2.1800000000000002</v>
      </c>
    </row>
    <row r="120" spans="1:90" s="80" customFormat="1" ht="11.25">
      <c r="B120" s="414" t="s">
        <v>58</v>
      </c>
      <c r="C120" s="406">
        <v>2010</v>
      </c>
      <c r="D120" s="80" t="s">
        <v>14</v>
      </c>
      <c r="E120" s="418">
        <v>40441</v>
      </c>
      <c r="F120" s="407">
        <v>586</v>
      </c>
      <c r="G120" s="407">
        <v>290</v>
      </c>
      <c r="H120" s="407">
        <v>242</v>
      </c>
      <c r="I120" s="407">
        <v>334</v>
      </c>
      <c r="J120" s="407"/>
      <c r="K120" s="407">
        <v>56</v>
      </c>
      <c r="L120" s="407">
        <v>61</v>
      </c>
      <c r="M120" s="407">
        <v>14</v>
      </c>
      <c r="N120" s="407">
        <v>36</v>
      </c>
      <c r="O120" s="407">
        <v>75</v>
      </c>
      <c r="P120" s="407">
        <v>66</v>
      </c>
      <c r="Q120" s="407">
        <v>41</v>
      </c>
      <c r="R120" s="407">
        <v>97</v>
      </c>
      <c r="S120" s="407">
        <v>53</v>
      </c>
      <c r="T120" s="407">
        <v>19</v>
      </c>
      <c r="U120" s="407">
        <v>71</v>
      </c>
      <c r="V120" s="407">
        <v>32</v>
      </c>
      <c r="W120" s="407">
        <v>41</v>
      </c>
      <c r="X120" s="407">
        <v>81</v>
      </c>
      <c r="Y120" s="407">
        <v>56</v>
      </c>
      <c r="Z120" s="407">
        <v>26</v>
      </c>
      <c r="AA120" s="407">
        <v>44</v>
      </c>
      <c r="AB120" s="407">
        <v>21</v>
      </c>
      <c r="AC120" s="407">
        <v>24</v>
      </c>
      <c r="AD120" s="407">
        <v>20</v>
      </c>
      <c r="AE120" s="407">
        <v>42</v>
      </c>
      <c r="AF120" s="407">
        <v>19</v>
      </c>
      <c r="AG120" s="407">
        <v>23</v>
      </c>
      <c r="AH120" s="407">
        <v>16</v>
      </c>
      <c r="AI120" s="407">
        <v>40</v>
      </c>
      <c r="AJ120" s="407">
        <v>39</v>
      </c>
      <c r="AK120" s="407">
        <v>25</v>
      </c>
      <c r="AL120" s="407">
        <v>18</v>
      </c>
      <c r="AM120" s="407">
        <v>34</v>
      </c>
      <c r="AN120" s="407">
        <v>53</v>
      </c>
      <c r="AO120" s="407">
        <v>95</v>
      </c>
      <c r="AP120" s="407">
        <v>21</v>
      </c>
      <c r="AQ120" s="407">
        <v>28</v>
      </c>
      <c r="AR120" s="407">
        <v>27</v>
      </c>
      <c r="AS120" s="407">
        <v>59</v>
      </c>
      <c r="AT120" s="407"/>
      <c r="AU120" s="407">
        <v>41</v>
      </c>
      <c r="AV120" s="407">
        <v>53</v>
      </c>
      <c r="AW120" s="407">
        <v>36</v>
      </c>
      <c r="AX120" s="407">
        <v>70</v>
      </c>
      <c r="AY120" s="407">
        <v>61</v>
      </c>
      <c r="AZ120" s="407">
        <v>15</v>
      </c>
      <c r="BA120" s="407">
        <v>51</v>
      </c>
      <c r="BB120" s="407">
        <v>19</v>
      </c>
      <c r="BC120" s="407">
        <v>71</v>
      </c>
      <c r="BD120" s="407">
        <v>14</v>
      </c>
      <c r="BE120" s="407">
        <v>75</v>
      </c>
      <c r="BF120" s="407">
        <v>56</v>
      </c>
      <c r="BG120" s="407">
        <v>5</v>
      </c>
      <c r="BH120" s="407">
        <v>19</v>
      </c>
      <c r="BI120" s="407">
        <v>62</v>
      </c>
      <c r="BJ120" s="407">
        <v>27</v>
      </c>
      <c r="BK120" s="407">
        <v>2</v>
      </c>
      <c r="BL120" s="407">
        <v>16</v>
      </c>
      <c r="BM120" s="407">
        <v>26</v>
      </c>
      <c r="BN120" s="407">
        <v>38</v>
      </c>
      <c r="BO120" s="407">
        <v>5</v>
      </c>
      <c r="BP120" s="407">
        <v>21</v>
      </c>
      <c r="BQ120" s="407">
        <v>39</v>
      </c>
      <c r="BR120" s="407">
        <v>41</v>
      </c>
      <c r="BS120" s="407">
        <v>8</v>
      </c>
      <c r="BT120" s="407">
        <v>34</v>
      </c>
      <c r="BU120" s="407">
        <v>20</v>
      </c>
      <c r="BV120" s="407">
        <v>23</v>
      </c>
      <c r="BW120" s="407">
        <v>40</v>
      </c>
      <c r="BX120" s="407">
        <v>24</v>
      </c>
      <c r="BY120" s="407">
        <v>39</v>
      </c>
      <c r="BZ120" s="407">
        <v>16</v>
      </c>
      <c r="CA120" s="407">
        <v>19</v>
      </c>
      <c r="CB120" s="407">
        <v>25</v>
      </c>
      <c r="CC120" s="407">
        <v>95</v>
      </c>
      <c r="CD120" s="407">
        <v>21</v>
      </c>
      <c r="CE120" s="407">
        <v>18</v>
      </c>
      <c r="CF120" s="407">
        <v>12</v>
      </c>
      <c r="CG120" s="407">
        <v>47</v>
      </c>
      <c r="CH120" s="407">
        <v>34</v>
      </c>
      <c r="CI120" s="407">
        <v>27</v>
      </c>
      <c r="CJ120" s="407">
        <v>53</v>
      </c>
      <c r="CK120" s="407">
        <v>28</v>
      </c>
      <c r="CL120" s="407">
        <v>1452</v>
      </c>
    </row>
    <row r="121" spans="1:90" s="80" customFormat="1" ht="11.25">
      <c r="B121" s="414"/>
      <c r="C121" s="406"/>
      <c r="D121" s="80" t="s">
        <v>1</v>
      </c>
      <c r="F121" s="407">
        <v>232107.36</v>
      </c>
      <c r="G121" s="407">
        <v>184654.69</v>
      </c>
      <c r="H121" s="407">
        <v>174810.37</v>
      </c>
      <c r="I121" s="407">
        <v>202711.95</v>
      </c>
      <c r="J121" s="407"/>
      <c r="K121" s="407">
        <v>18203.28</v>
      </c>
      <c r="L121" s="407">
        <v>29257.74</v>
      </c>
      <c r="M121" s="407">
        <v>26747.8</v>
      </c>
      <c r="N121" s="407">
        <v>15760.74</v>
      </c>
      <c r="O121" s="407">
        <v>7776.37</v>
      </c>
      <c r="P121" s="407">
        <v>14670.77</v>
      </c>
      <c r="Q121" s="407">
        <v>20995.78</v>
      </c>
      <c r="R121" s="407">
        <v>33590.68</v>
      </c>
      <c r="S121" s="407">
        <v>28171.93</v>
      </c>
      <c r="T121" s="407">
        <v>12926.83</v>
      </c>
      <c r="U121" s="407">
        <v>24005.43</v>
      </c>
      <c r="V121" s="407">
        <v>31773.06</v>
      </c>
      <c r="W121" s="407">
        <v>11941.64</v>
      </c>
      <c r="X121" s="407">
        <v>32421.03</v>
      </c>
      <c r="Y121" s="407">
        <v>49804.35</v>
      </c>
      <c r="Z121" s="407">
        <v>15546.89</v>
      </c>
      <c r="AA121" s="407">
        <v>18158.240000000002</v>
      </c>
      <c r="AB121" s="407">
        <v>25000.47</v>
      </c>
      <c r="AC121" s="407">
        <v>8787.24</v>
      </c>
      <c r="AD121" s="407">
        <v>10687.19</v>
      </c>
      <c r="AE121" s="407">
        <v>72340.58</v>
      </c>
      <c r="AF121" s="407">
        <v>5894.01</v>
      </c>
      <c r="AG121" s="407">
        <v>14323.86</v>
      </c>
      <c r="AH121" s="407">
        <v>20871.22</v>
      </c>
      <c r="AI121" s="407">
        <v>6983.96</v>
      </c>
      <c r="AJ121" s="407">
        <v>7057.98</v>
      </c>
      <c r="AK121" s="407">
        <v>27864.33</v>
      </c>
      <c r="AL121" s="407">
        <v>31057.48</v>
      </c>
      <c r="AM121" s="407">
        <v>29330.19</v>
      </c>
      <c r="AN121" s="407">
        <v>29782.37</v>
      </c>
      <c r="AO121" s="407">
        <v>24341.94</v>
      </c>
      <c r="AP121" s="407">
        <v>20088.61</v>
      </c>
      <c r="AQ121" s="407">
        <v>10922.03</v>
      </c>
      <c r="AR121" s="407">
        <v>9362.69</v>
      </c>
      <c r="AS121" s="407">
        <v>47826.65</v>
      </c>
      <c r="AT121" s="407"/>
      <c r="AU121" s="407">
        <v>20995.78</v>
      </c>
      <c r="AV121" s="407">
        <v>28171.93</v>
      </c>
      <c r="AW121" s="407">
        <v>15760.74</v>
      </c>
      <c r="AX121" s="407">
        <v>26900.82</v>
      </c>
      <c r="AY121" s="407">
        <v>29257.74</v>
      </c>
      <c r="AZ121" s="407">
        <v>2301.91</v>
      </c>
      <c r="BA121" s="407">
        <v>12368.86</v>
      </c>
      <c r="BB121" s="407">
        <v>12926.83</v>
      </c>
      <c r="BC121" s="407">
        <v>24005.43</v>
      </c>
      <c r="BD121" s="407">
        <v>26747.8</v>
      </c>
      <c r="BE121" s="407">
        <v>7776.37</v>
      </c>
      <c r="BF121" s="407">
        <v>18203.28</v>
      </c>
      <c r="BG121" s="407">
        <v>8855.68</v>
      </c>
      <c r="BH121" s="407">
        <v>5712.45</v>
      </c>
      <c r="BI121" s="407">
        <v>26708.58</v>
      </c>
      <c r="BJ121" s="407">
        <v>22917.38</v>
      </c>
      <c r="BK121" s="407">
        <v>4996</v>
      </c>
      <c r="BL121" s="407">
        <v>4092.46</v>
      </c>
      <c r="BM121" s="407">
        <v>15546.89</v>
      </c>
      <c r="BN121" s="407">
        <v>40715.89</v>
      </c>
      <c r="BO121" s="407">
        <v>5897.54</v>
      </c>
      <c r="BP121" s="407">
        <v>25000.47</v>
      </c>
      <c r="BQ121" s="407">
        <v>12260.7</v>
      </c>
      <c r="BR121" s="407">
        <v>11941.64</v>
      </c>
      <c r="BS121" s="407">
        <v>6992.51</v>
      </c>
      <c r="BT121" s="407">
        <v>65348.07</v>
      </c>
      <c r="BU121" s="407">
        <v>10687.19</v>
      </c>
      <c r="BV121" s="407">
        <v>14323.86</v>
      </c>
      <c r="BW121" s="407">
        <v>6983.96</v>
      </c>
      <c r="BX121" s="407">
        <v>8787.24</v>
      </c>
      <c r="BY121" s="407">
        <v>7057.98</v>
      </c>
      <c r="BZ121" s="407">
        <v>20871.22</v>
      </c>
      <c r="CA121" s="407">
        <v>5894.01</v>
      </c>
      <c r="CB121" s="407">
        <v>27864.33</v>
      </c>
      <c r="CC121" s="407">
        <v>24341.94</v>
      </c>
      <c r="CD121" s="407">
        <v>20088.61</v>
      </c>
      <c r="CE121" s="407">
        <v>31057.48</v>
      </c>
      <c r="CF121" s="407">
        <v>3508.14</v>
      </c>
      <c r="CG121" s="407">
        <v>44318.51</v>
      </c>
      <c r="CH121" s="407">
        <v>29330.19</v>
      </c>
      <c r="CI121" s="407">
        <v>9362.69</v>
      </c>
      <c r="CJ121" s="407">
        <v>29782.37</v>
      </c>
      <c r="CK121" s="407">
        <v>10922.03</v>
      </c>
      <c r="CL121" s="407">
        <v>813936.7</v>
      </c>
    </row>
    <row r="122" spans="1:90" s="80" customFormat="1" ht="11.25">
      <c r="B122" s="414" t="s">
        <v>211</v>
      </c>
      <c r="C122" s="406">
        <v>2010</v>
      </c>
      <c r="D122" s="80" t="s">
        <v>14</v>
      </c>
      <c r="E122" s="418">
        <v>40441</v>
      </c>
      <c r="F122" s="407">
        <v>4143</v>
      </c>
      <c r="G122" s="407">
        <v>308</v>
      </c>
      <c r="H122" s="407">
        <v>509</v>
      </c>
      <c r="I122" s="407">
        <v>1271</v>
      </c>
      <c r="J122" s="407"/>
      <c r="K122" s="407">
        <v>398</v>
      </c>
      <c r="L122" s="407">
        <v>596</v>
      </c>
      <c r="M122" s="407">
        <v>282</v>
      </c>
      <c r="N122" s="407">
        <v>246</v>
      </c>
      <c r="O122" s="407">
        <v>239</v>
      </c>
      <c r="P122" s="407">
        <v>184</v>
      </c>
      <c r="Q122" s="407">
        <v>396</v>
      </c>
      <c r="R122" s="407">
        <v>538</v>
      </c>
      <c r="S122" s="407">
        <v>404</v>
      </c>
      <c r="T122" s="407">
        <v>132</v>
      </c>
      <c r="U122" s="407">
        <v>732</v>
      </c>
      <c r="V122" s="407">
        <v>40</v>
      </c>
      <c r="W122" s="407">
        <v>16</v>
      </c>
      <c r="X122" s="407">
        <v>155</v>
      </c>
      <c r="Y122" s="407">
        <v>61</v>
      </c>
      <c r="Z122" s="407">
        <v>23</v>
      </c>
      <c r="AA122" s="407">
        <v>16</v>
      </c>
      <c r="AB122" s="407" t="s">
        <v>61</v>
      </c>
      <c r="AC122" s="407">
        <v>48</v>
      </c>
      <c r="AD122" s="407">
        <v>21</v>
      </c>
      <c r="AE122" s="407">
        <v>55</v>
      </c>
      <c r="AF122" s="407">
        <v>38</v>
      </c>
      <c r="AG122" s="407">
        <v>98</v>
      </c>
      <c r="AH122" s="407">
        <v>68</v>
      </c>
      <c r="AI122" s="407">
        <v>21</v>
      </c>
      <c r="AJ122" s="407">
        <v>81</v>
      </c>
      <c r="AK122" s="407">
        <v>79</v>
      </c>
      <c r="AL122" s="407">
        <v>29</v>
      </c>
      <c r="AM122" s="407">
        <v>7</v>
      </c>
      <c r="AN122" s="407">
        <v>493</v>
      </c>
      <c r="AO122" s="407">
        <v>203</v>
      </c>
      <c r="AP122" s="407">
        <v>17</v>
      </c>
      <c r="AQ122" s="407">
        <v>124</v>
      </c>
      <c r="AR122" s="407">
        <v>28</v>
      </c>
      <c r="AS122" s="407">
        <v>371</v>
      </c>
      <c r="AT122" s="407"/>
      <c r="AU122" s="407">
        <v>396</v>
      </c>
      <c r="AV122" s="407">
        <v>404</v>
      </c>
      <c r="AW122" s="407">
        <v>246</v>
      </c>
      <c r="AX122" s="407">
        <v>526</v>
      </c>
      <c r="AY122" s="407">
        <v>596</v>
      </c>
      <c r="AZ122" s="407">
        <v>8</v>
      </c>
      <c r="BA122" s="407">
        <v>176</v>
      </c>
      <c r="BB122" s="407">
        <v>132</v>
      </c>
      <c r="BC122" s="407">
        <v>732</v>
      </c>
      <c r="BD122" s="407">
        <v>282</v>
      </c>
      <c r="BE122" s="407">
        <v>239</v>
      </c>
      <c r="BF122" s="407">
        <v>398</v>
      </c>
      <c r="BG122" s="407">
        <v>9</v>
      </c>
      <c r="BH122" s="407">
        <v>3</v>
      </c>
      <c r="BI122" s="407">
        <v>152</v>
      </c>
      <c r="BJ122" s="407">
        <v>31</v>
      </c>
      <c r="BK122" s="407">
        <v>9</v>
      </c>
      <c r="BL122" s="407">
        <v>2</v>
      </c>
      <c r="BM122" s="407">
        <v>23</v>
      </c>
      <c r="BN122" s="407">
        <v>50</v>
      </c>
      <c r="BO122" s="407">
        <v>1</v>
      </c>
      <c r="BP122" s="407" t="s">
        <v>61</v>
      </c>
      <c r="BQ122" s="407">
        <v>15</v>
      </c>
      <c r="BR122" s="407">
        <v>16</v>
      </c>
      <c r="BS122" s="407">
        <v>7</v>
      </c>
      <c r="BT122" s="407">
        <v>48</v>
      </c>
      <c r="BU122" s="407">
        <v>21</v>
      </c>
      <c r="BV122" s="407">
        <v>98</v>
      </c>
      <c r="BW122" s="407">
        <v>21</v>
      </c>
      <c r="BX122" s="407">
        <v>48</v>
      </c>
      <c r="BY122" s="407">
        <v>81</v>
      </c>
      <c r="BZ122" s="407">
        <v>68</v>
      </c>
      <c r="CA122" s="407">
        <v>38</v>
      </c>
      <c r="CB122" s="407">
        <v>79</v>
      </c>
      <c r="CC122" s="407">
        <v>203</v>
      </c>
      <c r="CD122" s="407">
        <v>17</v>
      </c>
      <c r="CE122" s="407">
        <v>29</v>
      </c>
      <c r="CF122" s="407">
        <v>9</v>
      </c>
      <c r="CG122" s="407">
        <v>362</v>
      </c>
      <c r="CH122" s="407">
        <v>7</v>
      </c>
      <c r="CI122" s="407">
        <v>28</v>
      </c>
      <c r="CJ122" s="407">
        <v>493</v>
      </c>
      <c r="CK122" s="407">
        <v>124</v>
      </c>
      <c r="CL122" s="407">
        <v>6231</v>
      </c>
    </row>
    <row r="123" spans="1:90" s="80" customFormat="1" ht="11.25">
      <c r="B123" s="414"/>
      <c r="C123" s="406"/>
      <c r="D123" s="80" t="s">
        <v>1</v>
      </c>
      <c r="F123" s="407">
        <v>4170.09</v>
      </c>
      <c r="G123" s="407">
        <v>541.74</v>
      </c>
      <c r="H123" s="407">
        <v>587.17999999999995</v>
      </c>
      <c r="I123" s="407">
        <v>1151.67</v>
      </c>
      <c r="J123" s="407"/>
      <c r="K123" s="407">
        <v>359.48</v>
      </c>
      <c r="L123" s="407">
        <v>528.95000000000005</v>
      </c>
      <c r="M123" s="407">
        <v>290.68</v>
      </c>
      <c r="N123" s="407">
        <v>310.51</v>
      </c>
      <c r="O123" s="407">
        <v>119.56</v>
      </c>
      <c r="P123" s="407">
        <v>180.21</v>
      </c>
      <c r="Q123" s="407">
        <v>604.95000000000005</v>
      </c>
      <c r="R123" s="407">
        <v>582.64</v>
      </c>
      <c r="S123" s="407">
        <v>556.91</v>
      </c>
      <c r="T123" s="407">
        <v>74.989999999999995</v>
      </c>
      <c r="U123" s="407">
        <v>561.22</v>
      </c>
      <c r="V123" s="407">
        <v>79.45</v>
      </c>
      <c r="W123" s="407">
        <v>39.14</v>
      </c>
      <c r="X123" s="407">
        <v>280.74</v>
      </c>
      <c r="Y123" s="407">
        <v>77.97</v>
      </c>
      <c r="Z123" s="407">
        <v>54.51</v>
      </c>
      <c r="AA123" s="407">
        <v>9.93</v>
      </c>
      <c r="AB123" s="407" t="s">
        <v>61</v>
      </c>
      <c r="AC123" s="407">
        <v>65.58</v>
      </c>
      <c r="AD123" s="407">
        <v>29.81</v>
      </c>
      <c r="AE123" s="407">
        <v>68.790000000000006</v>
      </c>
      <c r="AF123" s="407">
        <v>36.619999999999997</v>
      </c>
      <c r="AG123" s="407">
        <v>45.79</v>
      </c>
      <c r="AH123" s="407">
        <v>151.69</v>
      </c>
      <c r="AI123" s="407">
        <v>42.2</v>
      </c>
      <c r="AJ123" s="407">
        <v>77.03</v>
      </c>
      <c r="AK123" s="407">
        <v>69.67</v>
      </c>
      <c r="AL123" s="407">
        <v>65.63</v>
      </c>
      <c r="AM123" s="407">
        <v>10.07</v>
      </c>
      <c r="AN123" s="407">
        <v>440.02</v>
      </c>
      <c r="AO123" s="407">
        <v>198.6</v>
      </c>
      <c r="AP123" s="407">
        <v>28.92</v>
      </c>
      <c r="AQ123" s="407">
        <v>42.68</v>
      </c>
      <c r="AR123" s="407">
        <v>40.46</v>
      </c>
      <c r="AS123" s="407">
        <v>325.3</v>
      </c>
      <c r="AT123" s="407"/>
      <c r="AU123" s="407">
        <v>604.95000000000005</v>
      </c>
      <c r="AV123" s="407">
        <v>556.91</v>
      </c>
      <c r="AW123" s="407">
        <v>310.51</v>
      </c>
      <c r="AX123" s="407">
        <v>578.1</v>
      </c>
      <c r="AY123" s="407">
        <v>528.95000000000005</v>
      </c>
      <c r="AZ123" s="407">
        <v>11.52</v>
      </c>
      <c r="BA123" s="407">
        <v>168.69</v>
      </c>
      <c r="BB123" s="407">
        <v>74.989999999999995</v>
      </c>
      <c r="BC123" s="407">
        <v>561.22</v>
      </c>
      <c r="BD123" s="407">
        <v>290.68</v>
      </c>
      <c r="BE123" s="407">
        <v>119.56</v>
      </c>
      <c r="BF123" s="407">
        <v>359.48</v>
      </c>
      <c r="BG123" s="407">
        <v>19.5</v>
      </c>
      <c r="BH123" s="407">
        <v>3.6</v>
      </c>
      <c r="BI123" s="407">
        <v>277.14</v>
      </c>
      <c r="BJ123" s="407">
        <v>59.95</v>
      </c>
      <c r="BK123" s="407">
        <v>16.16</v>
      </c>
      <c r="BL123" s="407">
        <v>1.1599999999999999</v>
      </c>
      <c r="BM123" s="407">
        <v>54.51</v>
      </c>
      <c r="BN123" s="407">
        <v>60.65</v>
      </c>
      <c r="BO123" s="407">
        <v>3.9</v>
      </c>
      <c r="BP123" s="407" t="s">
        <v>61</v>
      </c>
      <c r="BQ123" s="407">
        <v>6.03</v>
      </c>
      <c r="BR123" s="407">
        <v>39.14</v>
      </c>
      <c r="BS123" s="407">
        <v>6.83</v>
      </c>
      <c r="BT123" s="407">
        <v>61.96</v>
      </c>
      <c r="BU123" s="407">
        <v>29.81</v>
      </c>
      <c r="BV123" s="407">
        <v>45.79</v>
      </c>
      <c r="BW123" s="407">
        <v>42.2</v>
      </c>
      <c r="BX123" s="407">
        <v>65.58</v>
      </c>
      <c r="BY123" s="407">
        <v>77.03</v>
      </c>
      <c r="BZ123" s="407">
        <v>151.69</v>
      </c>
      <c r="CA123" s="407">
        <v>36.619999999999997</v>
      </c>
      <c r="CB123" s="407">
        <v>69.67</v>
      </c>
      <c r="CC123" s="407">
        <v>198.6</v>
      </c>
      <c r="CD123" s="407">
        <v>28.92</v>
      </c>
      <c r="CE123" s="407">
        <v>65.63</v>
      </c>
      <c r="CF123" s="407">
        <v>19.27</v>
      </c>
      <c r="CG123" s="407">
        <v>306.02999999999997</v>
      </c>
      <c r="CH123" s="407">
        <v>10.07</v>
      </c>
      <c r="CI123" s="407">
        <v>40.46</v>
      </c>
      <c r="CJ123" s="407">
        <v>440.02</v>
      </c>
      <c r="CK123" s="407">
        <v>42.68</v>
      </c>
      <c r="CL123" s="407">
        <v>6476.71</v>
      </c>
    </row>
    <row r="124" spans="1:90" s="80" customFormat="1" ht="11.25">
      <c r="B124" s="414" t="s">
        <v>254</v>
      </c>
      <c r="C124" s="406">
        <v>2008</v>
      </c>
      <c r="D124" s="80" t="s">
        <v>14</v>
      </c>
      <c r="E124" s="418">
        <v>40648</v>
      </c>
      <c r="F124" s="407">
        <v>3441</v>
      </c>
      <c r="G124" s="407">
        <v>770</v>
      </c>
      <c r="H124" s="407">
        <v>2919</v>
      </c>
      <c r="I124" s="407">
        <v>4653</v>
      </c>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v>13</v>
      </c>
      <c r="AU124" s="407">
        <v>89</v>
      </c>
      <c r="AV124" s="407">
        <v>98</v>
      </c>
      <c r="AW124" s="407">
        <v>323</v>
      </c>
      <c r="AX124" s="407">
        <v>158</v>
      </c>
      <c r="AY124" s="407">
        <v>281</v>
      </c>
      <c r="AZ124" s="407">
        <v>5</v>
      </c>
      <c r="BA124" s="407">
        <v>143</v>
      </c>
      <c r="BB124" s="407">
        <v>247</v>
      </c>
      <c r="BC124" s="407">
        <v>760</v>
      </c>
      <c r="BD124" s="407">
        <v>289</v>
      </c>
      <c r="BE124" s="407">
        <v>225</v>
      </c>
      <c r="BF124" s="407">
        <v>810</v>
      </c>
      <c r="BG124" s="407">
        <v>1</v>
      </c>
      <c r="BH124" s="407">
        <v>3</v>
      </c>
      <c r="BI124" s="407">
        <v>37</v>
      </c>
      <c r="BJ124" s="407">
        <v>26</v>
      </c>
      <c r="BK124" s="407">
        <v>7</v>
      </c>
      <c r="BL124" s="407">
        <v>2</v>
      </c>
      <c r="BM124" s="407">
        <v>235</v>
      </c>
      <c r="BN124" s="407">
        <v>102</v>
      </c>
      <c r="BO124" s="407">
        <v>1</v>
      </c>
      <c r="BP124" s="407">
        <v>136</v>
      </c>
      <c r="BQ124" s="407">
        <v>76</v>
      </c>
      <c r="BR124" s="407">
        <v>144</v>
      </c>
      <c r="BS124" s="407">
        <v>4</v>
      </c>
      <c r="BT124" s="407">
        <v>495</v>
      </c>
      <c r="BU124" s="407">
        <v>193</v>
      </c>
      <c r="BV124" s="407">
        <v>515</v>
      </c>
      <c r="BW124" s="407">
        <v>228</v>
      </c>
      <c r="BX124" s="407">
        <v>482</v>
      </c>
      <c r="BY124" s="407">
        <v>140</v>
      </c>
      <c r="BZ124" s="407">
        <v>263</v>
      </c>
      <c r="CA124" s="407">
        <v>208</v>
      </c>
      <c r="CB124" s="407">
        <v>391</v>
      </c>
      <c r="CC124" s="407">
        <v>279</v>
      </c>
      <c r="CD124" s="407">
        <v>43</v>
      </c>
      <c r="CE124" s="407">
        <v>85</v>
      </c>
      <c r="CF124" s="407">
        <v>23</v>
      </c>
      <c r="CG124" s="407">
        <v>607</v>
      </c>
      <c r="CH124" s="407">
        <v>985</v>
      </c>
      <c r="CI124" s="407">
        <v>377</v>
      </c>
      <c r="CJ124" s="407">
        <v>1809</v>
      </c>
      <c r="CK124" s="407">
        <v>445</v>
      </c>
      <c r="CL124" s="407">
        <v>11783</v>
      </c>
    </row>
    <row r="125" spans="1:90" s="80" customFormat="1" ht="11.25">
      <c r="B125" s="414" t="s">
        <v>255</v>
      </c>
      <c r="C125" s="406">
        <v>2010</v>
      </c>
      <c r="D125" s="80" t="s">
        <v>14</v>
      </c>
      <c r="E125" s="418">
        <v>40652</v>
      </c>
      <c r="F125" s="407">
        <v>3007</v>
      </c>
      <c r="G125" s="407">
        <v>672</v>
      </c>
      <c r="H125" s="407">
        <v>1964</v>
      </c>
      <c r="I125" s="407">
        <v>2366</v>
      </c>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v>85</v>
      </c>
      <c r="AV125" s="407">
        <v>62</v>
      </c>
      <c r="AW125" s="407">
        <v>122</v>
      </c>
      <c r="AX125" s="407">
        <v>133</v>
      </c>
      <c r="AY125" s="407">
        <v>134</v>
      </c>
      <c r="AZ125" s="407" t="s">
        <v>252</v>
      </c>
      <c r="BA125" s="407">
        <v>133</v>
      </c>
      <c r="BB125" s="407">
        <v>359</v>
      </c>
      <c r="BC125" s="407">
        <v>917</v>
      </c>
      <c r="BD125" s="407">
        <v>430</v>
      </c>
      <c r="BE125" s="407">
        <v>169</v>
      </c>
      <c r="BF125" s="407">
        <v>459</v>
      </c>
      <c r="BG125" s="407" t="s">
        <v>252</v>
      </c>
      <c r="BH125" s="407">
        <v>8</v>
      </c>
      <c r="BI125" s="407">
        <v>56</v>
      </c>
      <c r="BJ125" s="407">
        <v>43</v>
      </c>
      <c r="BK125" s="407">
        <v>9</v>
      </c>
      <c r="BL125" s="407" t="s">
        <v>252</v>
      </c>
      <c r="BM125" s="407">
        <v>182</v>
      </c>
      <c r="BN125" s="407">
        <v>110</v>
      </c>
      <c r="BO125" s="407">
        <v>3</v>
      </c>
      <c r="BP125" s="407">
        <v>91</v>
      </c>
      <c r="BQ125" s="407">
        <v>58</v>
      </c>
      <c r="BR125" s="407">
        <v>106</v>
      </c>
      <c r="BS125" s="407">
        <v>13</v>
      </c>
      <c r="BT125" s="407">
        <v>280</v>
      </c>
      <c r="BU125" s="407">
        <v>180</v>
      </c>
      <c r="BV125" s="407">
        <v>497</v>
      </c>
      <c r="BW125" s="407">
        <v>223</v>
      </c>
      <c r="BX125" s="407">
        <v>247</v>
      </c>
      <c r="BY125" s="407">
        <v>95</v>
      </c>
      <c r="BZ125" s="407">
        <v>119</v>
      </c>
      <c r="CA125" s="407">
        <v>96</v>
      </c>
      <c r="CB125" s="407">
        <v>214</v>
      </c>
      <c r="CC125" s="407">
        <v>220</v>
      </c>
      <c r="CD125" s="407">
        <v>65</v>
      </c>
      <c r="CE125" s="407">
        <v>83</v>
      </c>
      <c r="CF125" s="407">
        <v>30</v>
      </c>
      <c r="CG125" s="407">
        <v>731</v>
      </c>
      <c r="CH125" s="407">
        <v>500</v>
      </c>
      <c r="CI125" s="407">
        <v>119</v>
      </c>
      <c r="CJ125" s="407">
        <v>237</v>
      </c>
      <c r="CK125" s="407">
        <v>381</v>
      </c>
      <c r="CL125" s="407">
        <v>8009</v>
      </c>
    </row>
    <row r="126" spans="1:90" s="80" customFormat="1" ht="11.25">
      <c r="B126" s="414" t="s">
        <v>256</v>
      </c>
      <c r="C126" s="406">
        <v>2010</v>
      </c>
      <c r="D126" s="80" t="s">
        <v>14</v>
      </c>
      <c r="E126" s="418">
        <v>40652</v>
      </c>
      <c r="F126" s="407">
        <v>523578</v>
      </c>
      <c r="G126" s="407">
        <v>68098</v>
      </c>
      <c r="H126" s="407">
        <v>94291</v>
      </c>
      <c r="I126" s="407">
        <v>399368</v>
      </c>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v>12206</v>
      </c>
      <c r="AV126" s="407">
        <v>4039</v>
      </c>
      <c r="AW126" s="407">
        <v>15543</v>
      </c>
      <c r="AX126" s="407">
        <v>28660</v>
      </c>
      <c r="AY126" s="407">
        <v>9818</v>
      </c>
      <c r="AZ126" s="407" t="s">
        <v>252</v>
      </c>
      <c r="BA126" s="407">
        <v>23545</v>
      </c>
      <c r="BB126" s="407">
        <v>77858</v>
      </c>
      <c r="BC126" s="407">
        <v>208234</v>
      </c>
      <c r="BD126" s="407">
        <v>59852</v>
      </c>
      <c r="BE126" s="407">
        <v>31522</v>
      </c>
      <c r="BF126" s="407">
        <v>51804</v>
      </c>
      <c r="BG126" s="407" t="s">
        <v>252</v>
      </c>
      <c r="BH126" s="407">
        <v>793</v>
      </c>
      <c r="BI126" s="407">
        <v>5110</v>
      </c>
      <c r="BJ126" s="407">
        <v>3874</v>
      </c>
      <c r="BK126" s="407">
        <v>567</v>
      </c>
      <c r="BL126" s="407">
        <v>64</v>
      </c>
      <c r="BM126" s="407">
        <v>26778</v>
      </c>
      <c r="BN126" s="407">
        <v>14479</v>
      </c>
      <c r="BO126" s="407" t="s">
        <v>252</v>
      </c>
      <c r="BP126" s="407">
        <v>4065</v>
      </c>
      <c r="BQ126" s="407">
        <v>4983</v>
      </c>
      <c r="BR126" s="407">
        <v>7368</v>
      </c>
      <c r="BS126" s="407">
        <v>223</v>
      </c>
      <c r="BT126" s="407">
        <v>6205</v>
      </c>
      <c r="BU126" s="407">
        <v>4070</v>
      </c>
      <c r="BV126" s="407">
        <v>15514</v>
      </c>
      <c r="BW126" s="407">
        <v>26001</v>
      </c>
      <c r="BX126" s="407">
        <v>13716</v>
      </c>
      <c r="BY126" s="407">
        <v>6568</v>
      </c>
      <c r="BZ126" s="407">
        <v>12062</v>
      </c>
      <c r="CA126" s="407">
        <v>2689</v>
      </c>
      <c r="CB126" s="407">
        <v>7243</v>
      </c>
      <c r="CC126" s="407">
        <v>15086</v>
      </c>
      <c r="CD126" s="407">
        <v>10014</v>
      </c>
      <c r="CE126" s="407">
        <v>6150</v>
      </c>
      <c r="CF126" s="407">
        <v>12842</v>
      </c>
      <c r="CG126" s="407">
        <v>157728</v>
      </c>
      <c r="CH126" s="407">
        <v>98860</v>
      </c>
      <c r="CI126" s="407">
        <v>13491</v>
      </c>
      <c r="CJ126" s="407">
        <v>27942</v>
      </c>
      <c r="CK126" s="407">
        <v>57255</v>
      </c>
      <c r="CL126" s="407">
        <v>1085335</v>
      </c>
    </row>
  </sheetData>
  <phoneticPr fontId="0" type="noConversion"/>
  <printOptions horizontalCentered="1"/>
  <pageMargins left="0.39370078740157483" right="0.39370078740157483" top="0.59055118110236227" bottom="0.59055118110236227" header="0.51181102362204722" footer="0.39370078740157483"/>
  <pageSetup paperSize="8" scale="85" orientation="portrait" r:id="rId1"/>
  <headerFooter alignWithMargins="0"/>
  <rowBreaks count="1" manualBreakCount="1">
    <brk id="99" min="1" max="88"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6"/>
  <sheetViews>
    <sheetView zoomScaleNormal="100" workbookViewId="0">
      <pane xSplit="5" ySplit="4" topLeftCell="CI5" activePane="bottomRight" state="frozen"/>
      <selection activeCell="E106" sqref="E106"/>
      <selection pane="topRight" activeCell="E106" sqref="E106"/>
      <selection pane="bottomLeft" activeCell="E106" sqref="E106"/>
      <selection pane="bottomRight" activeCell="E106" sqref="E106"/>
    </sheetView>
  </sheetViews>
  <sheetFormatPr baseColWidth="10" defaultRowHeight="12.75"/>
  <cols>
    <col min="1" max="1" width="4" bestFit="1" customWidth="1"/>
    <col min="2" max="2" width="39" style="66" customWidth="1"/>
    <col min="3" max="3" width="6.85546875" style="238" customWidth="1"/>
    <col min="4" max="4" width="12.5703125" bestFit="1" customWidth="1"/>
    <col min="5" max="5" width="8.7109375" style="79" customWidth="1"/>
    <col min="6" max="89" width="11.42578125" style="166"/>
    <col min="90" max="90" width="17.85546875" style="166" bestFit="1" customWidth="1"/>
  </cols>
  <sheetData>
    <row r="1" spans="1:91" ht="13.5" thickBot="1">
      <c r="B1" s="81" t="s">
        <v>198</v>
      </c>
      <c r="E1" s="80"/>
    </row>
    <row r="2" spans="1:91">
      <c r="B2" s="94"/>
      <c r="C2" s="239"/>
      <c r="D2" s="96"/>
      <c r="E2" s="350" t="s">
        <v>215</v>
      </c>
      <c r="F2" s="167" t="s">
        <v>149</v>
      </c>
      <c r="G2" s="168" t="s">
        <v>149</v>
      </c>
      <c r="H2" s="168" t="s">
        <v>149</v>
      </c>
      <c r="I2" s="169" t="s">
        <v>149</v>
      </c>
      <c r="J2" s="168"/>
      <c r="K2" s="167" t="s">
        <v>167</v>
      </c>
      <c r="L2" s="168" t="s">
        <v>167</v>
      </c>
      <c r="M2" s="168" t="s">
        <v>167</v>
      </c>
      <c r="N2" s="168" t="s">
        <v>167</v>
      </c>
      <c r="O2" s="168" t="s">
        <v>167</v>
      </c>
      <c r="P2" s="168" t="s">
        <v>167</v>
      </c>
      <c r="Q2" s="168" t="s">
        <v>167</v>
      </c>
      <c r="R2" s="168" t="s">
        <v>167</v>
      </c>
      <c r="S2" s="168" t="s">
        <v>167</v>
      </c>
      <c r="T2" s="168" t="s">
        <v>167</v>
      </c>
      <c r="U2" s="170" t="s">
        <v>167</v>
      </c>
      <c r="V2" s="168" t="s">
        <v>167</v>
      </c>
      <c r="W2" s="168" t="s">
        <v>167</v>
      </c>
      <c r="X2" s="168" t="s">
        <v>167</v>
      </c>
      <c r="Y2" s="168" t="s">
        <v>167</v>
      </c>
      <c r="Z2" s="168" t="s">
        <v>167</v>
      </c>
      <c r="AA2" s="168" t="s">
        <v>167</v>
      </c>
      <c r="AB2" s="170" t="s">
        <v>167</v>
      </c>
      <c r="AC2" s="168" t="s">
        <v>167</v>
      </c>
      <c r="AD2" s="168" t="s">
        <v>167</v>
      </c>
      <c r="AE2" s="168" t="s">
        <v>167</v>
      </c>
      <c r="AF2" s="168" t="s">
        <v>167</v>
      </c>
      <c r="AG2" s="168" t="s">
        <v>167</v>
      </c>
      <c r="AH2" s="168" t="s">
        <v>167</v>
      </c>
      <c r="AI2" s="168" t="s">
        <v>167</v>
      </c>
      <c r="AJ2" s="168" t="s">
        <v>167</v>
      </c>
      <c r="AK2" s="170" t="s">
        <v>167</v>
      </c>
      <c r="AL2" s="168" t="s">
        <v>167</v>
      </c>
      <c r="AM2" s="168" t="s">
        <v>167</v>
      </c>
      <c r="AN2" s="168" t="s">
        <v>167</v>
      </c>
      <c r="AO2" s="168" t="s">
        <v>167</v>
      </c>
      <c r="AP2" s="168" t="s">
        <v>167</v>
      </c>
      <c r="AQ2" s="168" t="s">
        <v>167</v>
      </c>
      <c r="AR2" s="168" t="s">
        <v>167</v>
      </c>
      <c r="AS2" s="169" t="s">
        <v>167</v>
      </c>
      <c r="AT2" s="168" t="s">
        <v>111</v>
      </c>
      <c r="AU2" s="168" t="s">
        <v>112</v>
      </c>
      <c r="AV2" s="168" t="s">
        <v>112</v>
      </c>
      <c r="AW2" s="168" t="s">
        <v>112</v>
      </c>
      <c r="AX2" s="168" t="s">
        <v>112</v>
      </c>
      <c r="AY2" s="168" t="s">
        <v>112</v>
      </c>
      <c r="AZ2" s="168" t="s">
        <v>111</v>
      </c>
      <c r="BA2" s="168" t="s">
        <v>112</v>
      </c>
      <c r="BB2" s="168" t="s">
        <v>112</v>
      </c>
      <c r="BC2" s="168" t="s">
        <v>112</v>
      </c>
      <c r="BD2" s="168" t="s">
        <v>112</v>
      </c>
      <c r="BE2" s="168" t="s">
        <v>112</v>
      </c>
      <c r="BF2" s="170" t="s">
        <v>112</v>
      </c>
      <c r="BG2" s="168" t="s">
        <v>111</v>
      </c>
      <c r="BH2" s="168" t="s">
        <v>111</v>
      </c>
      <c r="BI2" s="168" t="s">
        <v>112</v>
      </c>
      <c r="BJ2" s="168" t="s">
        <v>112</v>
      </c>
      <c r="BK2" s="168" t="s">
        <v>111</v>
      </c>
      <c r="BL2" s="168" t="s">
        <v>111</v>
      </c>
      <c r="BM2" s="168" t="s">
        <v>112</v>
      </c>
      <c r="BN2" s="168" t="s">
        <v>112</v>
      </c>
      <c r="BO2" s="168" t="s">
        <v>111</v>
      </c>
      <c r="BP2" s="168" t="s">
        <v>112</v>
      </c>
      <c r="BQ2" s="168" t="s">
        <v>112</v>
      </c>
      <c r="BR2" s="170" t="s">
        <v>112</v>
      </c>
      <c r="BS2" s="168" t="s">
        <v>111</v>
      </c>
      <c r="BT2" s="168" t="s">
        <v>112</v>
      </c>
      <c r="BU2" s="168" t="s">
        <v>112</v>
      </c>
      <c r="BV2" s="168" t="s">
        <v>112</v>
      </c>
      <c r="BW2" s="168" t="s">
        <v>112</v>
      </c>
      <c r="BX2" s="168" t="s">
        <v>112</v>
      </c>
      <c r="BY2" s="168" t="s">
        <v>112</v>
      </c>
      <c r="BZ2" s="168" t="s">
        <v>112</v>
      </c>
      <c r="CA2" s="168" t="s">
        <v>112</v>
      </c>
      <c r="CB2" s="170" t="s">
        <v>112</v>
      </c>
      <c r="CC2" s="168" t="s">
        <v>112</v>
      </c>
      <c r="CD2" s="168" t="s">
        <v>112</v>
      </c>
      <c r="CE2" s="168" t="s">
        <v>112</v>
      </c>
      <c r="CF2" s="168" t="s">
        <v>111</v>
      </c>
      <c r="CG2" s="168" t="s">
        <v>112</v>
      </c>
      <c r="CH2" s="168" t="s">
        <v>112</v>
      </c>
      <c r="CI2" s="168" t="s">
        <v>112</v>
      </c>
      <c r="CJ2" s="168" t="s">
        <v>112</v>
      </c>
      <c r="CK2" s="169" t="s">
        <v>112</v>
      </c>
      <c r="CL2" s="171" t="s">
        <v>150</v>
      </c>
    </row>
    <row r="3" spans="1:91">
      <c r="B3" s="97" t="s">
        <v>102</v>
      </c>
      <c r="C3" s="240"/>
      <c r="D3" s="100"/>
      <c r="E3" s="99"/>
      <c r="F3" s="172" t="s">
        <v>110</v>
      </c>
      <c r="G3" s="173" t="s">
        <v>125</v>
      </c>
      <c r="H3" s="173" t="s">
        <v>132</v>
      </c>
      <c r="I3" s="174" t="s">
        <v>142</v>
      </c>
      <c r="J3" s="173"/>
      <c r="K3" s="290">
        <v>1101</v>
      </c>
      <c r="L3" s="291">
        <v>1110</v>
      </c>
      <c r="M3" s="291">
        <v>1121</v>
      </c>
      <c r="N3" s="291">
        <v>1130</v>
      </c>
      <c r="O3" s="291">
        <v>1140</v>
      </c>
      <c r="P3" s="291">
        <v>1150</v>
      </c>
      <c r="Q3" s="291">
        <v>1161</v>
      </c>
      <c r="R3" s="291">
        <v>1170</v>
      </c>
      <c r="S3" s="291">
        <v>1180</v>
      </c>
      <c r="T3" s="291">
        <v>1190</v>
      </c>
      <c r="U3" s="292">
        <v>1200</v>
      </c>
      <c r="V3" s="291">
        <v>2100</v>
      </c>
      <c r="W3" s="291">
        <v>2110</v>
      </c>
      <c r="X3" s="291">
        <v>2121</v>
      </c>
      <c r="Y3" s="291">
        <v>2131</v>
      </c>
      <c r="Z3" s="291">
        <v>2141</v>
      </c>
      <c r="AA3" s="291">
        <v>2150</v>
      </c>
      <c r="AB3" s="292">
        <v>2160</v>
      </c>
      <c r="AC3" s="291">
        <v>3100</v>
      </c>
      <c r="AD3" s="291">
        <v>3110</v>
      </c>
      <c r="AE3" s="291">
        <v>3120</v>
      </c>
      <c r="AF3" s="291">
        <v>3130</v>
      </c>
      <c r="AG3" s="291">
        <v>3140</v>
      </c>
      <c r="AH3" s="291">
        <v>3151</v>
      </c>
      <c r="AI3" s="291">
        <v>3160</v>
      </c>
      <c r="AJ3" s="291">
        <v>3170</v>
      </c>
      <c r="AK3" s="292">
        <v>3180</v>
      </c>
      <c r="AL3" s="291">
        <v>4100</v>
      </c>
      <c r="AM3" s="291">
        <v>4110</v>
      </c>
      <c r="AN3" s="291">
        <v>4120</v>
      </c>
      <c r="AO3" s="291">
        <v>4131</v>
      </c>
      <c r="AP3" s="291">
        <v>4140</v>
      </c>
      <c r="AQ3" s="291">
        <v>4150</v>
      </c>
      <c r="AR3" s="291">
        <v>4160</v>
      </c>
      <c r="AS3" s="293">
        <v>4170</v>
      </c>
      <c r="AT3" s="173" t="s">
        <v>110</v>
      </c>
      <c r="AU3" s="173" t="s">
        <v>114</v>
      </c>
      <c r="AV3" s="173" t="s">
        <v>115</v>
      </c>
      <c r="AW3" s="173" t="s">
        <v>116</v>
      </c>
      <c r="AX3" s="173" t="s">
        <v>113</v>
      </c>
      <c r="AY3" s="173" t="s">
        <v>117</v>
      </c>
      <c r="AZ3" s="173" t="s">
        <v>118</v>
      </c>
      <c r="BA3" s="173" t="s">
        <v>118</v>
      </c>
      <c r="BB3" s="173" t="s">
        <v>119</v>
      </c>
      <c r="BC3" s="173" t="s">
        <v>120</v>
      </c>
      <c r="BD3" s="173" t="s">
        <v>121</v>
      </c>
      <c r="BE3" s="173" t="s">
        <v>122</v>
      </c>
      <c r="BF3" s="175" t="s">
        <v>257</v>
      </c>
      <c r="BG3" s="173" t="s">
        <v>123</v>
      </c>
      <c r="BH3" s="173" t="s">
        <v>125</v>
      </c>
      <c r="BI3" s="173" t="s">
        <v>125</v>
      </c>
      <c r="BJ3" s="173" t="s">
        <v>124</v>
      </c>
      <c r="BK3" s="173" t="s">
        <v>126</v>
      </c>
      <c r="BL3" s="173" t="s">
        <v>127</v>
      </c>
      <c r="BM3" s="173" t="s">
        <v>128</v>
      </c>
      <c r="BN3" s="173" t="s">
        <v>126</v>
      </c>
      <c r="BO3" s="173" t="s">
        <v>129</v>
      </c>
      <c r="BP3" s="173" t="s">
        <v>130</v>
      </c>
      <c r="BQ3" s="173" t="s">
        <v>129</v>
      </c>
      <c r="BR3" s="175" t="s">
        <v>131</v>
      </c>
      <c r="BS3" s="173" t="s">
        <v>132</v>
      </c>
      <c r="BT3" s="173" t="s">
        <v>132</v>
      </c>
      <c r="BU3" s="173" t="s">
        <v>133</v>
      </c>
      <c r="BV3" s="173" t="s">
        <v>134</v>
      </c>
      <c r="BW3" s="173" t="s">
        <v>135</v>
      </c>
      <c r="BX3" s="173" t="s">
        <v>136</v>
      </c>
      <c r="BY3" s="173" t="s">
        <v>137</v>
      </c>
      <c r="BZ3" s="173" t="s">
        <v>138</v>
      </c>
      <c r="CA3" s="173" t="s">
        <v>139</v>
      </c>
      <c r="CB3" s="175" t="s">
        <v>140</v>
      </c>
      <c r="CC3" s="173" t="s">
        <v>141</v>
      </c>
      <c r="CD3" s="173" t="s">
        <v>142</v>
      </c>
      <c r="CE3" s="173" t="s">
        <v>143</v>
      </c>
      <c r="CF3" s="173" t="s">
        <v>144</v>
      </c>
      <c r="CG3" s="173" t="s">
        <v>144</v>
      </c>
      <c r="CH3" s="173" t="s">
        <v>145</v>
      </c>
      <c r="CI3" s="173" t="s">
        <v>146</v>
      </c>
      <c r="CJ3" s="173" t="s">
        <v>147</v>
      </c>
      <c r="CK3" s="174" t="s">
        <v>148</v>
      </c>
      <c r="CL3" s="176" t="s">
        <v>151</v>
      </c>
    </row>
    <row r="4" spans="1:91">
      <c r="B4" s="97"/>
      <c r="C4" s="240"/>
      <c r="D4" s="100"/>
      <c r="E4" s="99"/>
      <c r="F4" s="172" t="s">
        <v>163</v>
      </c>
      <c r="G4" s="173" t="s">
        <v>164</v>
      </c>
      <c r="H4" s="173" t="s">
        <v>165</v>
      </c>
      <c r="I4" s="174" t="s">
        <v>166</v>
      </c>
      <c r="J4" s="173"/>
      <c r="K4" s="172" t="s">
        <v>168</v>
      </c>
      <c r="L4" s="173" t="s">
        <v>169</v>
      </c>
      <c r="M4" s="173" t="s">
        <v>170</v>
      </c>
      <c r="N4" s="173" t="s">
        <v>27</v>
      </c>
      <c r="O4" s="173" t="s">
        <v>40</v>
      </c>
      <c r="P4" s="173" t="s">
        <v>244</v>
      </c>
      <c r="Q4" s="173" t="s">
        <v>219</v>
      </c>
      <c r="R4" s="173" t="s">
        <v>243</v>
      </c>
      <c r="S4" s="173" t="s">
        <v>218</v>
      </c>
      <c r="T4" s="173" t="s">
        <v>171</v>
      </c>
      <c r="U4" s="175" t="s">
        <v>172</v>
      </c>
      <c r="V4" s="173" t="s">
        <v>242</v>
      </c>
      <c r="W4" s="173" t="s">
        <v>173</v>
      </c>
      <c r="X4" s="173" t="s">
        <v>241</v>
      </c>
      <c r="Y4" s="173" t="s">
        <v>240</v>
      </c>
      <c r="Z4" s="173" t="s">
        <v>174</v>
      </c>
      <c r="AA4" s="173" t="s">
        <v>239</v>
      </c>
      <c r="AB4" s="175" t="s">
        <v>16</v>
      </c>
      <c r="AC4" s="173" t="s">
        <v>175</v>
      </c>
      <c r="AD4" s="173" t="s">
        <v>37</v>
      </c>
      <c r="AE4" s="173" t="s">
        <v>238</v>
      </c>
      <c r="AF4" s="173" t="s">
        <v>33</v>
      </c>
      <c r="AG4" s="173" t="s">
        <v>176</v>
      </c>
      <c r="AH4" s="173" t="s">
        <v>177</v>
      </c>
      <c r="AI4" s="173" t="s">
        <v>36</v>
      </c>
      <c r="AJ4" s="173" t="s">
        <v>35</v>
      </c>
      <c r="AK4" s="175" t="s">
        <v>32</v>
      </c>
      <c r="AL4" s="173" t="s">
        <v>178</v>
      </c>
      <c r="AM4" s="173" t="s">
        <v>25</v>
      </c>
      <c r="AN4" s="173" t="s">
        <v>29</v>
      </c>
      <c r="AO4" s="173" t="s">
        <v>179</v>
      </c>
      <c r="AP4" s="173" t="s">
        <v>30</v>
      </c>
      <c r="AQ4" s="173" t="s">
        <v>24</v>
      </c>
      <c r="AR4" s="173" t="s">
        <v>180</v>
      </c>
      <c r="AS4" s="174" t="s">
        <v>237</v>
      </c>
      <c r="AT4" s="173" t="s">
        <v>154</v>
      </c>
      <c r="AU4" s="173" t="s">
        <v>183</v>
      </c>
      <c r="AV4" s="173" t="s">
        <v>184</v>
      </c>
      <c r="AW4" s="173" t="s">
        <v>185</v>
      </c>
      <c r="AX4" s="173" t="s">
        <v>182</v>
      </c>
      <c r="AY4" s="173" t="s">
        <v>44</v>
      </c>
      <c r="AZ4" s="173" t="s">
        <v>152</v>
      </c>
      <c r="BA4" s="173" t="s">
        <v>153</v>
      </c>
      <c r="BB4" s="173" t="s">
        <v>45</v>
      </c>
      <c r="BC4" s="173" t="s">
        <v>26</v>
      </c>
      <c r="BD4" s="173" t="s">
        <v>46</v>
      </c>
      <c r="BE4" s="173" t="s">
        <v>186</v>
      </c>
      <c r="BF4" s="175" t="s">
        <v>39</v>
      </c>
      <c r="BG4" s="173" t="s">
        <v>155</v>
      </c>
      <c r="BH4" s="173" t="s">
        <v>156</v>
      </c>
      <c r="BI4" s="173" t="s">
        <v>157</v>
      </c>
      <c r="BJ4" s="173" t="s">
        <v>187</v>
      </c>
      <c r="BK4" s="173" t="s">
        <v>158</v>
      </c>
      <c r="BL4" s="173" t="s">
        <v>159</v>
      </c>
      <c r="BM4" s="173" t="s">
        <v>47</v>
      </c>
      <c r="BN4" s="173" t="s">
        <v>48</v>
      </c>
      <c r="BO4" s="173" t="s">
        <v>160</v>
      </c>
      <c r="BP4" s="173" t="s">
        <v>188</v>
      </c>
      <c r="BQ4" s="173" t="s">
        <v>41</v>
      </c>
      <c r="BR4" s="175" t="s">
        <v>38</v>
      </c>
      <c r="BS4" s="173" t="s">
        <v>161</v>
      </c>
      <c r="BT4" s="173" t="s">
        <v>213</v>
      </c>
      <c r="BU4" s="173" t="s">
        <v>189</v>
      </c>
      <c r="BV4" s="173" t="s">
        <v>28</v>
      </c>
      <c r="BW4" s="173" t="s">
        <v>190</v>
      </c>
      <c r="BX4" s="173" t="s">
        <v>49</v>
      </c>
      <c r="BY4" s="173" t="s">
        <v>191</v>
      </c>
      <c r="BZ4" s="173" t="s">
        <v>34</v>
      </c>
      <c r="CA4" s="173" t="s">
        <v>192</v>
      </c>
      <c r="CB4" s="175" t="s">
        <v>193</v>
      </c>
      <c r="CC4" s="173" t="s">
        <v>31</v>
      </c>
      <c r="CD4" s="173" t="s">
        <v>194</v>
      </c>
      <c r="CE4" s="173" t="s">
        <v>50</v>
      </c>
      <c r="CF4" s="173" t="s">
        <v>162</v>
      </c>
      <c r="CG4" s="173" t="s">
        <v>51</v>
      </c>
      <c r="CH4" s="173" t="s">
        <v>195</v>
      </c>
      <c r="CI4" s="173" t="s">
        <v>52</v>
      </c>
      <c r="CJ4" s="173" t="s">
        <v>196</v>
      </c>
      <c r="CK4" s="174" t="s">
        <v>197</v>
      </c>
      <c r="CL4" s="176" t="s">
        <v>55</v>
      </c>
    </row>
    <row r="5" spans="1:91">
      <c r="A5" s="93">
        <f>ROWS($A$3:A3)</f>
        <v>1</v>
      </c>
      <c r="B5" s="132"/>
      <c r="C5" s="133"/>
      <c r="D5" s="331"/>
      <c r="E5" s="331"/>
      <c r="F5" s="232">
        <f>COLUMNS($F$5:F5)</f>
        <v>1</v>
      </c>
      <c r="G5" s="232">
        <f>COLUMNS($F$5:G5)</f>
        <v>2</v>
      </c>
      <c r="H5" s="232">
        <f>COLUMNS($F$5:H5)</f>
        <v>3</v>
      </c>
      <c r="I5" s="233">
        <f>COLUMNS($F$5:I5)</f>
        <v>4</v>
      </c>
      <c r="J5" s="235">
        <f>COLUMNS($F$5:J5)</f>
        <v>5</v>
      </c>
      <c r="K5" s="232">
        <f>COLUMNS($F$5:K5)</f>
        <v>6</v>
      </c>
      <c r="L5" s="232">
        <f>COLUMNS($F$5:L5)</f>
        <v>7</v>
      </c>
      <c r="M5" s="232">
        <f>COLUMNS($F$5:M5)</f>
        <v>8</v>
      </c>
      <c r="N5" s="232">
        <f>COLUMNS($F$5:N5)</f>
        <v>9</v>
      </c>
      <c r="O5" s="232">
        <f>COLUMNS($F$5:O5)</f>
        <v>10</v>
      </c>
      <c r="P5" s="232">
        <f>COLUMNS($F$5:P5)</f>
        <v>11</v>
      </c>
      <c r="Q5" s="232">
        <f>COLUMNS($F$5:Q5)</f>
        <v>12</v>
      </c>
      <c r="R5" s="232">
        <f>COLUMNS($F$5:R5)</f>
        <v>13</v>
      </c>
      <c r="S5" s="232">
        <f>COLUMNS($F$5:S5)</f>
        <v>14</v>
      </c>
      <c r="T5" s="232">
        <f>COLUMNS($F$5:T5)</f>
        <v>15</v>
      </c>
      <c r="U5" s="234">
        <f>COLUMNS($F$5:U5)</f>
        <v>16</v>
      </c>
      <c r="V5" s="232">
        <f>COLUMNS($F$5:V5)</f>
        <v>17</v>
      </c>
      <c r="W5" s="232">
        <f>COLUMNS($F$5:W5)</f>
        <v>18</v>
      </c>
      <c r="X5" s="232">
        <f>COLUMNS($F$5:X5)</f>
        <v>19</v>
      </c>
      <c r="Y5" s="232">
        <f>COLUMNS($F$5:Y5)</f>
        <v>20</v>
      </c>
      <c r="Z5" s="232">
        <f>COLUMNS($F$5:Z5)</f>
        <v>21</v>
      </c>
      <c r="AA5" s="232">
        <f>COLUMNS($F$5:AA5)</f>
        <v>22</v>
      </c>
      <c r="AB5" s="234">
        <f>COLUMNS($F$5:AB5)</f>
        <v>23</v>
      </c>
      <c r="AC5" s="232">
        <f>COLUMNS($F$5:AC5)</f>
        <v>24</v>
      </c>
      <c r="AD5" s="232">
        <f>COLUMNS($F$5:AD5)</f>
        <v>25</v>
      </c>
      <c r="AE5" s="232">
        <f>COLUMNS($F$5:AE5)</f>
        <v>26</v>
      </c>
      <c r="AF5" s="232">
        <f>COLUMNS($F$5:AF5)</f>
        <v>27</v>
      </c>
      <c r="AG5" s="232">
        <f>COLUMNS($F$5:AG5)</f>
        <v>28</v>
      </c>
      <c r="AH5" s="232">
        <f>COLUMNS($F$5:AH5)</f>
        <v>29</v>
      </c>
      <c r="AI5" s="232">
        <f>COLUMNS($F$5:AI5)</f>
        <v>30</v>
      </c>
      <c r="AJ5" s="232">
        <f>COLUMNS($F$5:AJ5)</f>
        <v>31</v>
      </c>
      <c r="AK5" s="234">
        <f>COLUMNS($F$5:AK5)</f>
        <v>32</v>
      </c>
      <c r="AL5" s="232">
        <f>COLUMNS($F$5:AL5)</f>
        <v>33</v>
      </c>
      <c r="AM5" s="232">
        <f>COLUMNS($F$5:AM5)</f>
        <v>34</v>
      </c>
      <c r="AN5" s="232">
        <f>COLUMNS($F$5:AN5)</f>
        <v>35</v>
      </c>
      <c r="AO5" s="232">
        <f>COLUMNS($F$5:AO5)</f>
        <v>36</v>
      </c>
      <c r="AP5" s="232">
        <f>COLUMNS($F$5:AP5)</f>
        <v>37</v>
      </c>
      <c r="AQ5" s="232">
        <f>COLUMNS($F$5:AQ5)</f>
        <v>38</v>
      </c>
      <c r="AR5" s="232">
        <f>COLUMNS($F$5:AR5)</f>
        <v>39</v>
      </c>
      <c r="AS5" s="233">
        <f>COLUMNS($F$5:AS5)</f>
        <v>40</v>
      </c>
      <c r="AT5" s="232">
        <f>COLUMNS($F$5:AT5)</f>
        <v>41</v>
      </c>
      <c r="AU5" s="232">
        <f>COLUMNS($F$5:AU5)</f>
        <v>42</v>
      </c>
      <c r="AV5" s="232">
        <f>COLUMNS($F$5:AV5)</f>
        <v>43</v>
      </c>
      <c r="AW5" s="232">
        <f>COLUMNS($F$5:AW5)</f>
        <v>44</v>
      </c>
      <c r="AX5" s="232">
        <f>COLUMNS($F$5:AX5)</f>
        <v>45</v>
      </c>
      <c r="AY5" s="232">
        <f>COLUMNS($F$5:AY5)</f>
        <v>46</v>
      </c>
      <c r="AZ5" s="232">
        <f>COLUMNS($F$5:AZ5)</f>
        <v>47</v>
      </c>
      <c r="BA5" s="232">
        <f>COLUMNS($F$5:BA5)</f>
        <v>48</v>
      </c>
      <c r="BB5" s="232">
        <f>COLUMNS($F$5:BB5)</f>
        <v>49</v>
      </c>
      <c r="BC5" s="232">
        <f>COLUMNS($F$5:BC5)</f>
        <v>50</v>
      </c>
      <c r="BD5" s="232">
        <f>COLUMNS($F$5:BD5)</f>
        <v>51</v>
      </c>
      <c r="BE5" s="232">
        <f>COLUMNS($F$5:BE5)</f>
        <v>52</v>
      </c>
      <c r="BF5" s="234">
        <f>COLUMNS($F$5:BF5)</f>
        <v>53</v>
      </c>
      <c r="BG5" s="232">
        <f>COLUMNS($F$5:BG5)</f>
        <v>54</v>
      </c>
      <c r="BH5" s="232">
        <f>COLUMNS($F$5:BH5)</f>
        <v>55</v>
      </c>
      <c r="BI5" s="232">
        <f>COLUMNS($F$5:BI5)</f>
        <v>56</v>
      </c>
      <c r="BJ5" s="232">
        <f>COLUMNS($F$5:BJ5)</f>
        <v>57</v>
      </c>
      <c r="BK5" s="232">
        <f>COLUMNS($F$5:BK5)</f>
        <v>58</v>
      </c>
      <c r="BL5" s="232">
        <f>COLUMNS($F$5:BL5)</f>
        <v>59</v>
      </c>
      <c r="BM5" s="232">
        <f>COLUMNS($F$5:BM5)</f>
        <v>60</v>
      </c>
      <c r="BN5" s="232">
        <f>COLUMNS($F$5:BN5)</f>
        <v>61</v>
      </c>
      <c r="BO5" s="232">
        <f>COLUMNS($F$5:BO5)</f>
        <v>62</v>
      </c>
      <c r="BP5" s="232">
        <f>COLUMNS($F$5:BP5)</f>
        <v>63</v>
      </c>
      <c r="BQ5" s="232">
        <f>COLUMNS($F$5:BQ5)</f>
        <v>64</v>
      </c>
      <c r="BR5" s="234">
        <f>COLUMNS($F$5:BR5)</f>
        <v>65</v>
      </c>
      <c r="BS5" s="232">
        <f>COLUMNS($F$5:BS5)</f>
        <v>66</v>
      </c>
      <c r="BT5" s="232">
        <f>COLUMNS($F$5:BT5)</f>
        <v>67</v>
      </c>
      <c r="BU5" s="232">
        <f>COLUMNS($F$5:BU5)</f>
        <v>68</v>
      </c>
      <c r="BV5" s="232">
        <f>COLUMNS($F$5:BV5)</f>
        <v>69</v>
      </c>
      <c r="BW5" s="232">
        <f>COLUMNS($F$5:BW5)</f>
        <v>70</v>
      </c>
      <c r="BX5" s="232">
        <f>COLUMNS($F$5:BX5)</f>
        <v>71</v>
      </c>
      <c r="BY5" s="232">
        <f>COLUMNS($F$5:BY5)</f>
        <v>72</v>
      </c>
      <c r="BZ5" s="232">
        <f>COLUMNS($F$5:BZ5)</f>
        <v>73</v>
      </c>
      <c r="CA5" s="232">
        <f>COLUMNS($F$5:CA5)</f>
        <v>74</v>
      </c>
      <c r="CB5" s="234">
        <f>COLUMNS($F$5:CB5)</f>
        <v>75</v>
      </c>
      <c r="CC5" s="232">
        <f>COLUMNS($F$5:CC5)</f>
        <v>76</v>
      </c>
      <c r="CD5" s="232">
        <f>COLUMNS($F$5:CD5)</f>
        <v>77</v>
      </c>
      <c r="CE5" s="232">
        <f>COLUMNS($F$5:CE5)</f>
        <v>78</v>
      </c>
      <c r="CF5" s="232">
        <f>COLUMNS($F$5:CF5)</f>
        <v>79</v>
      </c>
      <c r="CG5" s="232">
        <f>COLUMNS($F$5:CG5)</f>
        <v>80</v>
      </c>
      <c r="CH5" s="232">
        <f>COLUMNS($F$5:CH5)</f>
        <v>81</v>
      </c>
      <c r="CI5" s="232">
        <f>COLUMNS($F$5:CI5)</f>
        <v>82</v>
      </c>
      <c r="CJ5" s="232">
        <f>COLUMNS($F$5:CJ5)</f>
        <v>83</v>
      </c>
      <c r="CK5" s="233">
        <f>COLUMNS($F$5:CK5)</f>
        <v>84</v>
      </c>
      <c r="CL5" s="233">
        <f>COLUMNS($F$5:CL5)</f>
        <v>85</v>
      </c>
      <c r="CM5" s="131"/>
    </row>
    <row r="6" spans="1:91">
      <c r="A6" s="93">
        <f>ROWS($A$3:A4)</f>
        <v>2</v>
      </c>
      <c r="B6" s="67" t="s">
        <v>108</v>
      </c>
      <c r="C6" s="241"/>
      <c r="D6" s="332"/>
      <c r="E6" s="333"/>
      <c r="F6" s="156"/>
      <c r="G6" s="177"/>
      <c r="H6" s="177"/>
      <c r="I6" s="178"/>
      <c r="J6" s="177"/>
      <c r="K6" s="156"/>
      <c r="L6" s="177"/>
      <c r="M6" s="177"/>
      <c r="N6" s="177"/>
      <c r="O6" s="177"/>
      <c r="P6" s="177"/>
      <c r="Q6" s="177"/>
      <c r="R6" s="177"/>
      <c r="S6" s="177"/>
      <c r="T6" s="177"/>
      <c r="U6" s="179"/>
      <c r="V6" s="177"/>
      <c r="W6" s="177"/>
      <c r="X6" s="177"/>
      <c r="Y6" s="177"/>
      <c r="Z6" s="177"/>
      <c r="AA6" s="177"/>
      <c r="AB6" s="179"/>
      <c r="AC6" s="177"/>
      <c r="AD6" s="177"/>
      <c r="AE6" s="177"/>
      <c r="AF6" s="177"/>
      <c r="AG6" s="177"/>
      <c r="AH6" s="177"/>
      <c r="AI6" s="177"/>
      <c r="AJ6" s="177"/>
      <c r="AK6" s="179"/>
      <c r="AL6" s="177"/>
      <c r="AM6" s="177"/>
      <c r="AN6" s="177"/>
      <c r="AO6" s="177"/>
      <c r="AP6" s="177"/>
      <c r="AQ6" s="177"/>
      <c r="AR6" s="177"/>
      <c r="AS6" s="178"/>
      <c r="AT6" s="177"/>
      <c r="AU6" s="177"/>
      <c r="AV6" s="177"/>
      <c r="AW6" s="177"/>
      <c r="AX6" s="177"/>
      <c r="AY6" s="177"/>
      <c r="AZ6" s="177"/>
      <c r="BA6" s="177"/>
      <c r="BB6" s="177"/>
      <c r="BC6" s="177"/>
      <c r="BD6" s="177"/>
      <c r="BE6" s="177"/>
      <c r="BF6" s="179"/>
      <c r="BG6" s="177"/>
      <c r="BH6" s="177"/>
      <c r="BI6" s="177"/>
      <c r="BJ6" s="177"/>
      <c r="BK6" s="177"/>
      <c r="BL6" s="177"/>
      <c r="BM6" s="177"/>
      <c r="BN6" s="177"/>
      <c r="BO6" s="177"/>
      <c r="BP6" s="177"/>
      <c r="BQ6" s="177"/>
      <c r="BR6" s="179"/>
      <c r="BS6" s="177"/>
      <c r="BT6" s="177"/>
      <c r="BU6" s="177"/>
      <c r="BV6" s="177"/>
      <c r="BW6" s="177"/>
      <c r="BX6" s="177"/>
      <c r="BY6" s="177"/>
      <c r="BZ6" s="177"/>
      <c r="CA6" s="177"/>
      <c r="CB6" s="179"/>
      <c r="CC6" s="177"/>
      <c r="CD6" s="177"/>
      <c r="CE6" s="177"/>
      <c r="CF6" s="177"/>
      <c r="CG6" s="177"/>
      <c r="CH6" s="177"/>
      <c r="CI6" s="177"/>
      <c r="CJ6" s="177"/>
      <c r="CK6" s="178"/>
      <c r="CL6" s="180"/>
    </row>
    <row r="7" spans="1:91">
      <c r="A7" s="93">
        <f>ROWS($A$3:A5)</f>
        <v>3</v>
      </c>
      <c r="B7" s="106" t="s">
        <v>63</v>
      </c>
      <c r="C7" s="242">
        <v>2007</v>
      </c>
      <c r="D7" s="314" t="s">
        <v>1</v>
      </c>
      <c r="E7" s="333"/>
      <c r="F7" s="156">
        <v>1055767</v>
      </c>
      <c r="G7" s="177">
        <v>691907</v>
      </c>
      <c r="H7" s="177">
        <v>935701</v>
      </c>
      <c r="I7" s="178">
        <v>891765</v>
      </c>
      <c r="J7" s="177"/>
      <c r="K7" s="156">
        <f t="shared" ref="K7:K20" si="0">BF7</f>
        <v>151158</v>
      </c>
      <c r="L7" s="177">
        <f t="shared" ref="L7:L20" si="1">AY7</f>
        <v>85814</v>
      </c>
      <c r="M7" s="177">
        <f t="shared" ref="M7:M20" si="2">BD7</f>
        <v>130441</v>
      </c>
      <c r="N7" s="177">
        <f t="shared" ref="N7:N20" si="3">AW7</f>
        <v>64236</v>
      </c>
      <c r="O7" s="177">
        <f t="shared" ref="O7:O20" si="4">BE7</f>
        <v>62712</v>
      </c>
      <c r="P7" s="177">
        <f>'2007'!AZ7+'2007'!BA7</f>
        <v>119982</v>
      </c>
      <c r="Q7" s="177">
        <f>'2007'!AU7</f>
        <v>61785</v>
      </c>
      <c r="R7" s="177">
        <f t="shared" ref="R7:R13" si="5">AT7+AX7</f>
        <v>89417</v>
      </c>
      <c r="S7" s="177">
        <f t="shared" ref="S7:S20" si="6">AV7</f>
        <v>64148</v>
      </c>
      <c r="T7" s="177">
        <f t="shared" ref="T7:T20" si="7">BB7</f>
        <v>77675</v>
      </c>
      <c r="U7" s="179">
        <f t="shared" ref="U7:U20" si="8">BC7</f>
        <v>148400</v>
      </c>
      <c r="V7" s="177">
        <f t="shared" ref="V7:V13" si="9">BG7+BJ7</f>
        <v>87893</v>
      </c>
      <c r="W7" s="177">
        <f t="shared" ref="W7:W20" si="10">BR7</f>
        <v>87068</v>
      </c>
      <c r="X7" s="177">
        <f t="shared" ref="X7:X13" si="11">BH7+BI7</f>
        <v>125846</v>
      </c>
      <c r="Y7" s="177">
        <f t="shared" ref="Y7:Y13" si="12">BK7+BL7+BN7</f>
        <v>131551</v>
      </c>
      <c r="Z7" s="177">
        <f t="shared" ref="Z7:Z20" si="13">BM7</f>
        <v>112627</v>
      </c>
      <c r="AA7" s="177">
        <f t="shared" ref="AA7:AA13" si="14">BO7+BQ7</f>
        <v>67170</v>
      </c>
      <c r="AB7" s="179">
        <f t="shared" ref="AB7:AB20" si="15">BP7</f>
        <v>79751</v>
      </c>
      <c r="AC7" s="177">
        <f t="shared" ref="AC7:AC20" si="16">BX7</f>
        <v>102524</v>
      </c>
      <c r="AD7" s="177">
        <f t="shared" ref="AD7:AD20" si="17">BU7</f>
        <v>67988</v>
      </c>
      <c r="AE7" s="177">
        <f t="shared" ref="AE7:AE13" si="18">BS7+BT7</f>
        <v>153138</v>
      </c>
      <c r="AF7" s="177">
        <f t="shared" ref="AF7:AF20" si="19">CA7</f>
        <v>80677</v>
      </c>
      <c r="AG7" s="177">
        <f t="shared" ref="AG7:AG20" si="20">BV7</f>
        <v>186080</v>
      </c>
      <c r="AH7" s="177">
        <f t="shared" ref="AH7:AH20" si="21">BZ7</f>
        <v>81800</v>
      </c>
      <c r="AI7" s="177">
        <f t="shared" ref="AI7:AI20" si="22">BW7</f>
        <v>76943</v>
      </c>
      <c r="AJ7" s="177">
        <f t="shared" ref="AJ7:AJ20" si="23">BY7</f>
        <v>73436</v>
      </c>
      <c r="AK7" s="179">
        <f t="shared" ref="AK7:AK20" si="24">CB7</f>
        <v>113115</v>
      </c>
      <c r="AL7" s="177">
        <f t="shared" ref="AL7:AL20" si="25">CE7</f>
        <v>91772</v>
      </c>
      <c r="AM7" s="177">
        <f t="shared" ref="AM7:AM20" si="26">CH7</f>
        <v>140975</v>
      </c>
      <c r="AN7" s="177">
        <f t="shared" ref="AN7:AN20" si="27">CJ7</f>
        <v>163181</v>
      </c>
      <c r="AO7" s="177">
        <f t="shared" ref="AO7:AO20" si="28">CC7</f>
        <v>109405</v>
      </c>
      <c r="AP7" s="177">
        <f t="shared" ref="AP7:AP20" si="29">CD7</f>
        <v>51918</v>
      </c>
      <c r="AQ7" s="177">
        <f t="shared" ref="AQ7:AQ20" si="30">CK7</f>
        <v>120436</v>
      </c>
      <c r="AR7" s="177">
        <f t="shared" ref="AR7:AR20" si="31">CI7</f>
        <v>66478</v>
      </c>
      <c r="AS7" s="184">
        <f t="shared" ref="AS7:AS13" si="32">CF7+CG7</f>
        <v>147601</v>
      </c>
      <c r="AT7" s="177">
        <v>20735</v>
      </c>
      <c r="AU7" s="177">
        <v>61785</v>
      </c>
      <c r="AV7" s="177">
        <v>64148</v>
      </c>
      <c r="AW7" s="181">
        <v>64236</v>
      </c>
      <c r="AX7" s="177">
        <v>68682</v>
      </c>
      <c r="AY7" s="177">
        <v>85814</v>
      </c>
      <c r="AZ7" s="177">
        <v>9988</v>
      </c>
      <c r="BA7" s="177">
        <v>109994</v>
      </c>
      <c r="BB7" s="177">
        <v>77675</v>
      </c>
      <c r="BC7" s="177">
        <v>148400</v>
      </c>
      <c r="BD7" s="177">
        <v>130441</v>
      </c>
      <c r="BE7" s="177">
        <v>62712</v>
      </c>
      <c r="BF7" s="179">
        <v>151158</v>
      </c>
      <c r="BG7" s="177">
        <v>14018</v>
      </c>
      <c r="BH7" s="177">
        <v>17346</v>
      </c>
      <c r="BI7" s="177">
        <v>108500</v>
      </c>
      <c r="BJ7" s="177">
        <v>73875</v>
      </c>
      <c r="BK7" s="177">
        <v>10883</v>
      </c>
      <c r="BL7" s="177">
        <v>14496</v>
      </c>
      <c r="BM7" s="177">
        <v>112627</v>
      </c>
      <c r="BN7" s="177">
        <v>106172</v>
      </c>
      <c r="BO7" s="177">
        <v>9802</v>
      </c>
      <c r="BP7" s="177">
        <v>79751</v>
      </c>
      <c r="BQ7" s="177">
        <v>57368</v>
      </c>
      <c r="BR7" s="179">
        <v>87068</v>
      </c>
      <c r="BS7" s="177">
        <v>15306</v>
      </c>
      <c r="BT7" s="177">
        <v>137832</v>
      </c>
      <c r="BU7" s="177">
        <v>67988</v>
      </c>
      <c r="BV7" s="177">
        <v>186080</v>
      </c>
      <c r="BW7" s="177">
        <v>76943</v>
      </c>
      <c r="BX7" s="177">
        <v>102524</v>
      </c>
      <c r="BY7" s="177">
        <v>73436</v>
      </c>
      <c r="BZ7" s="177">
        <v>81800</v>
      </c>
      <c r="CA7" s="177">
        <v>80677</v>
      </c>
      <c r="CB7" s="179">
        <v>113115</v>
      </c>
      <c r="CC7" s="177">
        <v>109405</v>
      </c>
      <c r="CD7" s="177">
        <v>51918</v>
      </c>
      <c r="CE7" s="177">
        <v>91772</v>
      </c>
      <c r="CF7" s="177">
        <v>11869</v>
      </c>
      <c r="CG7" s="177">
        <v>135732</v>
      </c>
      <c r="CH7" s="177">
        <v>140975</v>
      </c>
      <c r="CI7" s="177">
        <v>66478</v>
      </c>
      <c r="CJ7" s="177">
        <v>163181</v>
      </c>
      <c r="CK7" s="178">
        <v>120436</v>
      </c>
      <c r="CL7" s="180">
        <v>3575140</v>
      </c>
      <c r="CM7" s="56"/>
    </row>
    <row r="8" spans="1:91" ht="14.25">
      <c r="A8" s="93">
        <f>ROWS($A$3:A6)</f>
        <v>4</v>
      </c>
      <c r="B8" s="106" t="s">
        <v>261</v>
      </c>
      <c r="C8" s="243"/>
      <c r="D8" s="314" t="s">
        <v>1</v>
      </c>
      <c r="E8" s="333"/>
      <c r="F8" s="156">
        <v>169326</v>
      </c>
      <c r="G8" s="177">
        <v>111018</v>
      </c>
      <c r="H8" s="177">
        <v>110608</v>
      </c>
      <c r="I8" s="178">
        <v>106433</v>
      </c>
      <c r="J8" s="177"/>
      <c r="K8" s="156">
        <f t="shared" si="0"/>
        <v>18244</v>
      </c>
      <c r="L8" s="177">
        <f t="shared" si="1"/>
        <v>14679</v>
      </c>
      <c r="M8" s="177">
        <f t="shared" si="2"/>
        <v>13970</v>
      </c>
      <c r="N8" s="177">
        <f t="shared" si="3"/>
        <v>10362</v>
      </c>
      <c r="O8" s="177">
        <f t="shared" si="4"/>
        <v>7744</v>
      </c>
      <c r="P8" s="177">
        <f>'2007'!AZ8+'2007'!BA8</f>
        <v>22054</v>
      </c>
      <c r="Q8" s="177">
        <f>'2007'!AU8</f>
        <v>13488</v>
      </c>
      <c r="R8" s="177">
        <f t="shared" si="5"/>
        <v>26820</v>
      </c>
      <c r="S8" s="177">
        <f t="shared" si="6"/>
        <v>15581</v>
      </c>
      <c r="T8" s="177">
        <f t="shared" si="7"/>
        <v>9839</v>
      </c>
      <c r="U8" s="179">
        <f t="shared" si="8"/>
        <v>16545</v>
      </c>
      <c r="V8" s="177">
        <f t="shared" si="9"/>
        <v>12255</v>
      </c>
      <c r="W8" s="177">
        <f t="shared" si="10"/>
        <v>8169</v>
      </c>
      <c r="X8" s="177">
        <f t="shared" si="11"/>
        <v>26708</v>
      </c>
      <c r="Y8" s="177">
        <f t="shared" si="12"/>
        <v>31712</v>
      </c>
      <c r="Z8" s="177">
        <f t="shared" si="13"/>
        <v>11784</v>
      </c>
      <c r="AA8" s="177">
        <f t="shared" si="14"/>
        <v>11821</v>
      </c>
      <c r="AB8" s="179">
        <f t="shared" si="15"/>
        <v>8569</v>
      </c>
      <c r="AC8" s="177">
        <f t="shared" si="16"/>
        <v>11535</v>
      </c>
      <c r="AD8" s="177">
        <f t="shared" si="17"/>
        <v>7222</v>
      </c>
      <c r="AE8" s="177">
        <f t="shared" si="18"/>
        <v>18838</v>
      </c>
      <c r="AF8" s="177">
        <f t="shared" si="19"/>
        <v>9987</v>
      </c>
      <c r="AG8" s="177">
        <f t="shared" si="20"/>
        <v>21254</v>
      </c>
      <c r="AH8" s="177">
        <f t="shared" si="21"/>
        <v>12343</v>
      </c>
      <c r="AI8" s="177">
        <f t="shared" si="22"/>
        <v>9711</v>
      </c>
      <c r="AJ8" s="177">
        <f t="shared" si="23"/>
        <v>8396</v>
      </c>
      <c r="AK8" s="179">
        <f t="shared" si="24"/>
        <v>11322</v>
      </c>
      <c r="AL8" s="177">
        <f t="shared" si="25"/>
        <v>12039</v>
      </c>
      <c r="AM8" s="177">
        <f t="shared" si="26"/>
        <v>15547</v>
      </c>
      <c r="AN8" s="177">
        <f t="shared" si="27"/>
        <v>16518</v>
      </c>
      <c r="AO8" s="177">
        <f t="shared" si="28"/>
        <v>13730</v>
      </c>
      <c r="AP8" s="177">
        <f t="shared" si="29"/>
        <v>9046</v>
      </c>
      <c r="AQ8" s="177">
        <f t="shared" si="30"/>
        <v>11509</v>
      </c>
      <c r="AR8" s="177">
        <f t="shared" si="31"/>
        <v>9506</v>
      </c>
      <c r="AS8" s="184">
        <f t="shared" si="32"/>
        <v>18538</v>
      </c>
      <c r="AT8" s="177">
        <v>10587</v>
      </c>
      <c r="AU8" s="177">
        <v>13488</v>
      </c>
      <c r="AV8" s="177">
        <v>15581</v>
      </c>
      <c r="AW8" s="181">
        <v>10362</v>
      </c>
      <c r="AX8" s="177">
        <v>16233</v>
      </c>
      <c r="AY8" s="177">
        <v>14679</v>
      </c>
      <c r="AZ8" s="177">
        <v>3529</v>
      </c>
      <c r="BA8" s="177">
        <v>18525</v>
      </c>
      <c r="BB8" s="177">
        <v>9839</v>
      </c>
      <c r="BC8" s="177">
        <v>16545</v>
      </c>
      <c r="BD8" s="177">
        <v>13970</v>
      </c>
      <c r="BE8" s="177">
        <v>7744</v>
      </c>
      <c r="BF8" s="179">
        <v>18244</v>
      </c>
      <c r="BG8" s="177">
        <v>2035</v>
      </c>
      <c r="BH8" s="177">
        <v>7974</v>
      </c>
      <c r="BI8" s="177">
        <v>18734</v>
      </c>
      <c r="BJ8" s="177">
        <v>10220</v>
      </c>
      <c r="BK8" s="177">
        <v>3214</v>
      </c>
      <c r="BL8" s="177">
        <v>8374</v>
      </c>
      <c r="BM8" s="177">
        <v>11784</v>
      </c>
      <c r="BN8" s="177">
        <v>20124</v>
      </c>
      <c r="BO8" s="177">
        <v>2888</v>
      </c>
      <c r="BP8" s="177">
        <v>8569</v>
      </c>
      <c r="BQ8" s="177">
        <v>8933</v>
      </c>
      <c r="BR8" s="179">
        <v>8169</v>
      </c>
      <c r="BS8" s="177">
        <v>4842</v>
      </c>
      <c r="BT8" s="177">
        <v>13996</v>
      </c>
      <c r="BU8" s="177">
        <v>7222</v>
      </c>
      <c r="BV8" s="177">
        <v>21254</v>
      </c>
      <c r="BW8" s="177">
        <v>9711</v>
      </c>
      <c r="BX8" s="177">
        <v>11535</v>
      </c>
      <c r="BY8" s="177">
        <v>8396</v>
      </c>
      <c r="BZ8" s="177">
        <v>12343</v>
      </c>
      <c r="CA8" s="177">
        <v>9987</v>
      </c>
      <c r="CB8" s="179">
        <v>11322</v>
      </c>
      <c r="CC8" s="177">
        <v>13730</v>
      </c>
      <c r="CD8" s="177">
        <v>9046</v>
      </c>
      <c r="CE8" s="177">
        <v>12039</v>
      </c>
      <c r="CF8" s="177">
        <v>3647</v>
      </c>
      <c r="CG8" s="177">
        <v>14891</v>
      </c>
      <c r="CH8" s="177">
        <v>15547</v>
      </c>
      <c r="CI8" s="177">
        <v>9506</v>
      </c>
      <c r="CJ8" s="177">
        <v>16518</v>
      </c>
      <c r="CK8" s="178">
        <v>11509</v>
      </c>
      <c r="CL8" s="180">
        <v>497385</v>
      </c>
      <c r="CM8" s="56"/>
    </row>
    <row r="9" spans="1:91">
      <c r="A9" s="93">
        <f>ROWS($A$3:A7)</f>
        <v>5</v>
      </c>
      <c r="B9" s="106" t="s">
        <v>0</v>
      </c>
      <c r="C9" s="242">
        <v>2004</v>
      </c>
      <c r="D9" s="314" t="s">
        <v>1</v>
      </c>
      <c r="E9" s="333"/>
      <c r="F9" s="156">
        <v>539617</v>
      </c>
      <c r="G9" s="177">
        <v>257601</v>
      </c>
      <c r="H9" s="177">
        <v>376816</v>
      </c>
      <c r="I9" s="178">
        <v>481904</v>
      </c>
      <c r="J9" s="177"/>
      <c r="K9" s="156">
        <f t="shared" si="0"/>
        <v>72750</v>
      </c>
      <c r="L9" s="177">
        <f t="shared" si="1"/>
        <v>36950</v>
      </c>
      <c r="M9" s="177">
        <f t="shared" si="2"/>
        <v>75418</v>
      </c>
      <c r="N9" s="177">
        <f t="shared" si="3"/>
        <v>32684</v>
      </c>
      <c r="O9" s="177">
        <f t="shared" si="4"/>
        <v>27493</v>
      </c>
      <c r="P9" s="177">
        <f>'2007'!AZ9+'2007'!BA9</f>
        <v>66875</v>
      </c>
      <c r="Q9" s="177">
        <f>'2007'!AU9</f>
        <v>26396</v>
      </c>
      <c r="R9" s="177">
        <f t="shared" si="5"/>
        <v>43557</v>
      </c>
      <c r="S9" s="177">
        <f t="shared" si="6"/>
        <v>29110</v>
      </c>
      <c r="T9" s="177">
        <f t="shared" si="7"/>
        <v>44856</v>
      </c>
      <c r="U9" s="179">
        <f t="shared" si="8"/>
        <v>83529</v>
      </c>
      <c r="V9" s="177">
        <f t="shared" si="9"/>
        <v>26621</v>
      </c>
      <c r="W9" s="177">
        <f t="shared" si="10"/>
        <v>23281</v>
      </c>
      <c r="X9" s="177">
        <f t="shared" si="11"/>
        <v>54358</v>
      </c>
      <c r="Y9" s="177">
        <f t="shared" si="12"/>
        <v>52324</v>
      </c>
      <c r="Z9" s="177">
        <f t="shared" si="13"/>
        <v>52341</v>
      </c>
      <c r="AA9" s="177">
        <f t="shared" si="14"/>
        <v>27633</v>
      </c>
      <c r="AB9" s="179">
        <f t="shared" si="15"/>
        <v>21043</v>
      </c>
      <c r="AC9" s="177">
        <f t="shared" si="16"/>
        <v>43126</v>
      </c>
      <c r="AD9" s="177">
        <f t="shared" si="17"/>
        <v>28060</v>
      </c>
      <c r="AE9" s="177">
        <f t="shared" si="18"/>
        <v>59268</v>
      </c>
      <c r="AF9" s="177">
        <f t="shared" si="19"/>
        <v>28084</v>
      </c>
      <c r="AG9" s="177">
        <f t="shared" si="20"/>
        <v>71957</v>
      </c>
      <c r="AH9" s="177">
        <f t="shared" si="21"/>
        <v>40939</v>
      </c>
      <c r="AI9" s="177">
        <f t="shared" si="22"/>
        <v>33219</v>
      </c>
      <c r="AJ9" s="177">
        <f t="shared" si="23"/>
        <v>27594</v>
      </c>
      <c r="AK9" s="179">
        <f t="shared" si="24"/>
        <v>44568</v>
      </c>
      <c r="AL9" s="177">
        <f t="shared" si="25"/>
        <v>41496</v>
      </c>
      <c r="AM9" s="177">
        <f t="shared" si="26"/>
        <v>83580</v>
      </c>
      <c r="AN9" s="177">
        <f t="shared" si="27"/>
        <v>97494</v>
      </c>
      <c r="AO9" s="177">
        <f t="shared" si="28"/>
        <v>54127</v>
      </c>
      <c r="AP9" s="177">
        <f t="shared" si="29"/>
        <v>24138</v>
      </c>
      <c r="AQ9" s="177">
        <f t="shared" si="30"/>
        <v>59188</v>
      </c>
      <c r="AR9" s="177">
        <f t="shared" si="31"/>
        <v>37535</v>
      </c>
      <c r="AS9" s="184">
        <f t="shared" si="32"/>
        <v>84347</v>
      </c>
      <c r="AT9" s="177">
        <v>4968</v>
      </c>
      <c r="AU9" s="177">
        <v>26396</v>
      </c>
      <c r="AV9" s="177">
        <v>29110</v>
      </c>
      <c r="AW9" s="181">
        <v>32684</v>
      </c>
      <c r="AX9" s="177">
        <v>38589</v>
      </c>
      <c r="AY9" s="177">
        <v>36950</v>
      </c>
      <c r="AZ9" s="177">
        <v>4782</v>
      </c>
      <c r="BA9" s="177">
        <v>62093</v>
      </c>
      <c r="BB9" s="177">
        <v>44856</v>
      </c>
      <c r="BC9" s="177">
        <v>83529</v>
      </c>
      <c r="BD9" s="177">
        <v>75418</v>
      </c>
      <c r="BE9" s="177">
        <v>27493</v>
      </c>
      <c r="BF9" s="179">
        <v>72750</v>
      </c>
      <c r="BG9" s="177">
        <v>3154</v>
      </c>
      <c r="BH9" s="177">
        <v>4237</v>
      </c>
      <c r="BI9" s="177">
        <v>50121</v>
      </c>
      <c r="BJ9" s="177">
        <v>23467</v>
      </c>
      <c r="BK9" s="177">
        <v>2977</v>
      </c>
      <c r="BL9" s="177">
        <v>3570</v>
      </c>
      <c r="BM9" s="177">
        <v>52341</v>
      </c>
      <c r="BN9" s="177">
        <v>45777</v>
      </c>
      <c r="BO9" s="177">
        <v>1817</v>
      </c>
      <c r="BP9" s="177">
        <v>21043</v>
      </c>
      <c r="BQ9" s="177">
        <v>25816</v>
      </c>
      <c r="BR9" s="179">
        <v>23281</v>
      </c>
      <c r="BS9" s="177">
        <v>3756</v>
      </c>
      <c r="BT9" s="177">
        <v>55512</v>
      </c>
      <c r="BU9" s="177">
        <v>28060</v>
      </c>
      <c r="BV9" s="177">
        <v>71957</v>
      </c>
      <c r="BW9" s="177">
        <v>33219</v>
      </c>
      <c r="BX9" s="177">
        <v>43126</v>
      </c>
      <c r="BY9" s="177">
        <v>27594</v>
      </c>
      <c r="BZ9" s="177">
        <v>40939</v>
      </c>
      <c r="CA9" s="177">
        <v>28084</v>
      </c>
      <c r="CB9" s="179">
        <v>44568</v>
      </c>
      <c r="CC9" s="177">
        <v>54127</v>
      </c>
      <c r="CD9" s="177">
        <v>24138</v>
      </c>
      <c r="CE9" s="177">
        <v>41496</v>
      </c>
      <c r="CF9" s="177">
        <v>5472</v>
      </c>
      <c r="CG9" s="177">
        <v>78875</v>
      </c>
      <c r="CH9" s="177">
        <v>83580</v>
      </c>
      <c r="CI9" s="177">
        <v>37535</v>
      </c>
      <c r="CJ9" s="177">
        <v>97494</v>
      </c>
      <c r="CK9" s="178">
        <v>59188</v>
      </c>
      <c r="CL9" s="180">
        <v>1655939</v>
      </c>
      <c r="CM9" s="56"/>
    </row>
    <row r="10" spans="1:91">
      <c r="A10" s="93">
        <f>ROWS($A$3:A8)</f>
        <v>6</v>
      </c>
      <c r="B10" s="106" t="s">
        <v>216</v>
      </c>
      <c r="C10" s="242">
        <v>2004</v>
      </c>
      <c r="D10" s="314" t="s">
        <v>1</v>
      </c>
      <c r="E10" s="333"/>
      <c r="F10" s="156">
        <v>333380</v>
      </c>
      <c r="G10" s="177">
        <v>309428</v>
      </c>
      <c r="H10" s="177">
        <v>431212</v>
      </c>
      <c r="I10" s="178">
        <v>289006</v>
      </c>
      <c r="J10" s="177"/>
      <c r="K10" s="156">
        <f t="shared" si="0"/>
        <v>58834</v>
      </c>
      <c r="L10" s="177">
        <f t="shared" si="1"/>
        <v>33593</v>
      </c>
      <c r="M10" s="177">
        <f t="shared" si="2"/>
        <v>38367</v>
      </c>
      <c r="N10" s="177">
        <f t="shared" si="3"/>
        <v>20566</v>
      </c>
      <c r="O10" s="177">
        <f t="shared" si="4"/>
        <v>27018</v>
      </c>
      <c r="P10" s="177">
        <f>'2007'!AZ10+'2007'!BA10</f>
        <v>29406</v>
      </c>
      <c r="Q10" s="177">
        <f>'2007'!AU10</f>
        <v>21354</v>
      </c>
      <c r="R10" s="177">
        <f t="shared" si="5"/>
        <v>17386</v>
      </c>
      <c r="S10" s="177">
        <f t="shared" si="6"/>
        <v>18649</v>
      </c>
      <c r="T10" s="177">
        <f t="shared" si="7"/>
        <v>21738</v>
      </c>
      <c r="U10" s="179">
        <f t="shared" si="8"/>
        <v>46469</v>
      </c>
      <c r="V10" s="177">
        <f t="shared" si="9"/>
        <v>45896</v>
      </c>
      <c r="W10" s="177">
        <f t="shared" si="10"/>
        <v>54481</v>
      </c>
      <c r="X10" s="177">
        <f t="shared" si="11"/>
        <v>41180</v>
      </c>
      <c r="Y10" s="177">
        <f t="shared" si="12"/>
        <v>44149</v>
      </c>
      <c r="Z10" s="177">
        <f t="shared" si="13"/>
        <v>47336</v>
      </c>
      <c r="AA10" s="177">
        <f t="shared" si="14"/>
        <v>27115</v>
      </c>
      <c r="AB10" s="179">
        <f t="shared" si="15"/>
        <v>49272</v>
      </c>
      <c r="AC10" s="177">
        <f t="shared" si="16"/>
        <v>46851</v>
      </c>
      <c r="AD10" s="177">
        <f t="shared" si="17"/>
        <v>31075</v>
      </c>
      <c r="AE10" s="177">
        <f t="shared" si="18"/>
        <v>71658</v>
      </c>
      <c r="AF10" s="177">
        <f t="shared" si="19"/>
        <v>41529</v>
      </c>
      <c r="AG10" s="177">
        <f t="shared" si="20"/>
        <v>87830</v>
      </c>
      <c r="AH10" s="177">
        <f t="shared" si="21"/>
        <v>27189</v>
      </c>
      <c r="AI10" s="177">
        <f t="shared" si="22"/>
        <v>33006</v>
      </c>
      <c r="AJ10" s="177">
        <f t="shared" si="23"/>
        <v>36487</v>
      </c>
      <c r="AK10" s="179">
        <f t="shared" si="24"/>
        <v>55587</v>
      </c>
      <c r="AL10" s="177">
        <f t="shared" si="25"/>
        <v>37219</v>
      </c>
      <c r="AM10" s="177">
        <f t="shared" si="26"/>
        <v>39716</v>
      </c>
      <c r="AN10" s="177">
        <f t="shared" si="27"/>
        <v>46612</v>
      </c>
      <c r="AO10" s="177">
        <f t="shared" si="28"/>
        <v>40663</v>
      </c>
      <c r="AP10" s="177">
        <f t="shared" si="29"/>
        <v>17947</v>
      </c>
      <c r="AQ10" s="177">
        <f t="shared" si="30"/>
        <v>45960</v>
      </c>
      <c r="AR10" s="177">
        <f t="shared" si="31"/>
        <v>18594</v>
      </c>
      <c r="AS10" s="184">
        <f t="shared" si="32"/>
        <v>42295</v>
      </c>
      <c r="AT10" s="181">
        <v>4949</v>
      </c>
      <c r="AU10" s="181">
        <v>21354</v>
      </c>
      <c r="AV10" s="181">
        <v>18649</v>
      </c>
      <c r="AW10" s="181">
        <v>20566</v>
      </c>
      <c r="AX10" s="181">
        <v>12437</v>
      </c>
      <c r="AY10" s="177">
        <v>33593</v>
      </c>
      <c r="AZ10" s="177">
        <v>1413</v>
      </c>
      <c r="BA10" s="177">
        <v>27993</v>
      </c>
      <c r="BB10" s="177">
        <v>21738</v>
      </c>
      <c r="BC10" s="177">
        <v>46469</v>
      </c>
      <c r="BD10" s="177">
        <v>38367</v>
      </c>
      <c r="BE10" s="177">
        <v>27018</v>
      </c>
      <c r="BF10" s="179">
        <v>58834</v>
      </c>
      <c r="BG10" s="177">
        <v>8615</v>
      </c>
      <c r="BH10" s="177">
        <v>4535</v>
      </c>
      <c r="BI10" s="177">
        <v>36645</v>
      </c>
      <c r="BJ10" s="177">
        <v>37281</v>
      </c>
      <c r="BK10" s="177">
        <v>4416</v>
      </c>
      <c r="BL10" s="177">
        <v>1848</v>
      </c>
      <c r="BM10" s="177">
        <v>47336</v>
      </c>
      <c r="BN10" s="177">
        <v>37885</v>
      </c>
      <c r="BO10" s="177">
        <v>5080</v>
      </c>
      <c r="BP10" s="177">
        <v>49272</v>
      </c>
      <c r="BQ10" s="177">
        <v>22035</v>
      </c>
      <c r="BR10" s="179">
        <v>54481</v>
      </c>
      <c r="BS10" s="177">
        <v>6480</v>
      </c>
      <c r="BT10" s="177">
        <v>65178</v>
      </c>
      <c r="BU10" s="177">
        <v>31075</v>
      </c>
      <c r="BV10" s="177">
        <v>87830</v>
      </c>
      <c r="BW10" s="177">
        <v>33006</v>
      </c>
      <c r="BX10" s="177">
        <v>46851</v>
      </c>
      <c r="BY10" s="177">
        <v>36487</v>
      </c>
      <c r="BZ10" s="177">
        <v>27189</v>
      </c>
      <c r="CA10" s="177">
        <v>41529</v>
      </c>
      <c r="CB10" s="179">
        <v>55587</v>
      </c>
      <c r="CC10" s="177">
        <v>40663</v>
      </c>
      <c r="CD10" s="177">
        <v>17947</v>
      </c>
      <c r="CE10" s="177">
        <v>37219</v>
      </c>
      <c r="CF10" s="177">
        <v>2246</v>
      </c>
      <c r="CG10" s="177">
        <v>40049</v>
      </c>
      <c r="CH10" s="177">
        <v>39716</v>
      </c>
      <c r="CI10" s="177">
        <v>18594</v>
      </c>
      <c r="CJ10" s="177">
        <v>46612</v>
      </c>
      <c r="CK10" s="178">
        <v>45960</v>
      </c>
      <c r="CL10" s="180">
        <v>1363025</v>
      </c>
      <c r="CM10" s="56"/>
    </row>
    <row r="11" spans="1:91">
      <c r="A11" s="93">
        <f>ROWS($A$3:A9)</f>
        <v>7</v>
      </c>
      <c r="B11" s="106" t="s">
        <v>2</v>
      </c>
      <c r="C11" s="242">
        <v>2004</v>
      </c>
      <c r="D11" s="314" t="s">
        <v>1</v>
      </c>
      <c r="E11" s="333"/>
      <c r="F11" s="156">
        <v>8581</v>
      </c>
      <c r="G11" s="177">
        <v>9500</v>
      </c>
      <c r="H11" s="177">
        <v>11330</v>
      </c>
      <c r="I11" s="178">
        <v>7640</v>
      </c>
      <c r="J11" s="181"/>
      <c r="K11" s="156">
        <f t="shared" si="0"/>
        <v>1074</v>
      </c>
      <c r="L11" s="177">
        <f t="shared" si="1"/>
        <v>499</v>
      </c>
      <c r="M11" s="177">
        <f t="shared" si="2"/>
        <v>1037</v>
      </c>
      <c r="N11" s="177">
        <f t="shared" si="3"/>
        <v>287</v>
      </c>
      <c r="O11" s="177">
        <f t="shared" si="4"/>
        <v>246</v>
      </c>
      <c r="P11" s="177">
        <f>'2007'!AZ11+'2007'!BA11</f>
        <v>1413</v>
      </c>
      <c r="Q11" s="177">
        <f>'2007'!AU11</f>
        <v>243</v>
      </c>
      <c r="R11" s="177">
        <f t="shared" si="5"/>
        <v>1156</v>
      </c>
      <c r="S11" s="177">
        <f t="shared" si="6"/>
        <v>617</v>
      </c>
      <c r="T11" s="177">
        <f t="shared" si="7"/>
        <v>782</v>
      </c>
      <c r="U11" s="179">
        <f t="shared" si="8"/>
        <v>1227</v>
      </c>
      <c r="V11" s="177">
        <f t="shared" si="9"/>
        <v>1999</v>
      </c>
      <c r="W11" s="177">
        <f t="shared" si="10"/>
        <v>504</v>
      </c>
      <c r="X11" s="177">
        <f t="shared" si="11"/>
        <v>2950</v>
      </c>
      <c r="Y11" s="177">
        <f t="shared" si="12"/>
        <v>2623</v>
      </c>
      <c r="Z11" s="177">
        <f t="shared" si="13"/>
        <v>715</v>
      </c>
      <c r="AA11" s="177">
        <f t="shared" si="14"/>
        <v>390</v>
      </c>
      <c r="AB11" s="179">
        <f t="shared" si="15"/>
        <v>319</v>
      </c>
      <c r="AC11" s="177">
        <f t="shared" si="16"/>
        <v>643</v>
      </c>
      <c r="AD11" s="177">
        <f t="shared" si="17"/>
        <v>924</v>
      </c>
      <c r="AE11" s="177">
        <f t="shared" si="18"/>
        <v>2215</v>
      </c>
      <c r="AF11" s="177">
        <f t="shared" si="19"/>
        <v>912</v>
      </c>
      <c r="AG11" s="177">
        <f t="shared" si="20"/>
        <v>3486</v>
      </c>
      <c r="AH11" s="177">
        <f t="shared" si="21"/>
        <v>925</v>
      </c>
      <c r="AI11" s="177">
        <f t="shared" si="22"/>
        <v>449</v>
      </c>
      <c r="AJ11" s="177">
        <f t="shared" si="23"/>
        <v>353</v>
      </c>
      <c r="AK11" s="179">
        <f t="shared" si="24"/>
        <v>1423</v>
      </c>
      <c r="AL11" s="177">
        <f t="shared" si="25"/>
        <v>351</v>
      </c>
      <c r="AM11" s="177">
        <f t="shared" si="26"/>
        <v>1478</v>
      </c>
      <c r="AN11" s="177">
        <f t="shared" si="27"/>
        <v>2147</v>
      </c>
      <c r="AO11" s="177">
        <f t="shared" si="28"/>
        <v>260</v>
      </c>
      <c r="AP11" s="177">
        <f t="shared" si="29"/>
        <v>475</v>
      </c>
      <c r="AQ11" s="177">
        <f t="shared" si="30"/>
        <v>1030</v>
      </c>
      <c r="AR11" s="177">
        <f t="shared" si="31"/>
        <v>688</v>
      </c>
      <c r="AS11" s="184">
        <f t="shared" si="32"/>
        <v>1209</v>
      </c>
      <c r="AT11" s="181">
        <v>268</v>
      </c>
      <c r="AU11" s="181">
        <v>243</v>
      </c>
      <c r="AV11" s="181">
        <v>617</v>
      </c>
      <c r="AW11" s="181">
        <v>287</v>
      </c>
      <c r="AX11" s="181">
        <v>888</v>
      </c>
      <c r="AY11" s="177">
        <v>499</v>
      </c>
      <c r="AZ11" s="177">
        <v>218</v>
      </c>
      <c r="BA11" s="177">
        <v>1195</v>
      </c>
      <c r="BB11" s="177">
        <v>782</v>
      </c>
      <c r="BC11" s="177">
        <v>1227</v>
      </c>
      <c r="BD11" s="177">
        <v>1037</v>
      </c>
      <c r="BE11" s="177">
        <v>246</v>
      </c>
      <c r="BF11" s="179">
        <v>1074</v>
      </c>
      <c r="BG11" s="177">
        <v>82</v>
      </c>
      <c r="BH11" s="177">
        <v>672</v>
      </c>
      <c r="BI11" s="177">
        <v>2278</v>
      </c>
      <c r="BJ11" s="177">
        <v>1917</v>
      </c>
      <c r="BK11" s="177">
        <v>252</v>
      </c>
      <c r="BL11" s="177">
        <v>727</v>
      </c>
      <c r="BM11" s="177">
        <v>715</v>
      </c>
      <c r="BN11" s="177">
        <v>1644</v>
      </c>
      <c r="BO11" s="177">
        <v>74</v>
      </c>
      <c r="BP11" s="177">
        <v>319</v>
      </c>
      <c r="BQ11" s="177">
        <v>316</v>
      </c>
      <c r="BR11" s="179">
        <v>504</v>
      </c>
      <c r="BS11" s="177">
        <v>206</v>
      </c>
      <c r="BT11" s="177">
        <v>2009</v>
      </c>
      <c r="BU11" s="177">
        <v>924</v>
      </c>
      <c r="BV11" s="177">
        <v>3486</v>
      </c>
      <c r="BW11" s="177">
        <v>449</v>
      </c>
      <c r="BX11" s="177">
        <v>643</v>
      </c>
      <c r="BY11" s="177">
        <v>353</v>
      </c>
      <c r="BZ11" s="177">
        <v>925</v>
      </c>
      <c r="CA11" s="177">
        <v>912</v>
      </c>
      <c r="CB11" s="179">
        <v>1423</v>
      </c>
      <c r="CC11" s="177">
        <v>260</v>
      </c>
      <c r="CD11" s="177">
        <v>475</v>
      </c>
      <c r="CE11" s="177">
        <v>351</v>
      </c>
      <c r="CF11" s="177">
        <v>155</v>
      </c>
      <c r="CG11" s="177">
        <v>1054</v>
      </c>
      <c r="CH11" s="177">
        <v>1478</v>
      </c>
      <c r="CI11" s="177">
        <v>688</v>
      </c>
      <c r="CJ11" s="177">
        <v>2147</v>
      </c>
      <c r="CK11" s="178">
        <v>1030</v>
      </c>
      <c r="CL11" s="180">
        <v>37052</v>
      </c>
      <c r="CM11" s="56"/>
    </row>
    <row r="12" spans="1:91">
      <c r="A12" s="93">
        <f>ROWS($A$3:A10)</f>
        <v>8</v>
      </c>
      <c r="B12" s="106" t="s">
        <v>217</v>
      </c>
      <c r="C12" s="242">
        <v>2004</v>
      </c>
      <c r="D12" s="314" t="s">
        <v>1</v>
      </c>
      <c r="E12" s="333"/>
      <c r="F12" s="156">
        <v>8525</v>
      </c>
      <c r="G12" s="177">
        <v>5988</v>
      </c>
      <c r="H12" s="177">
        <v>6799</v>
      </c>
      <c r="I12" s="178">
        <v>7328</v>
      </c>
      <c r="J12" s="181"/>
      <c r="K12" s="156">
        <f t="shared" si="0"/>
        <v>607</v>
      </c>
      <c r="L12" s="177">
        <f t="shared" si="1"/>
        <v>456</v>
      </c>
      <c r="M12" s="177">
        <f t="shared" si="2"/>
        <v>1829</v>
      </c>
      <c r="N12" s="177">
        <f t="shared" si="3"/>
        <v>502</v>
      </c>
      <c r="O12" s="177">
        <f t="shared" si="4"/>
        <v>339</v>
      </c>
      <c r="P12" s="177">
        <f>'2007'!AZ12+'2007'!BA12</f>
        <v>944</v>
      </c>
      <c r="Q12" s="177">
        <f>'2007'!AU12</f>
        <v>622</v>
      </c>
      <c r="R12" s="177">
        <f t="shared" si="5"/>
        <v>1248</v>
      </c>
      <c r="S12" s="177">
        <f t="shared" si="6"/>
        <v>602</v>
      </c>
      <c r="T12" s="177">
        <f t="shared" si="7"/>
        <v>538</v>
      </c>
      <c r="U12" s="179">
        <f t="shared" si="8"/>
        <v>838</v>
      </c>
      <c r="V12" s="177">
        <f t="shared" si="9"/>
        <v>687</v>
      </c>
      <c r="W12" s="177">
        <f t="shared" si="10"/>
        <v>608</v>
      </c>
      <c r="X12" s="177">
        <f t="shared" si="11"/>
        <v>1432</v>
      </c>
      <c r="Y12" s="177">
        <f t="shared" si="12"/>
        <v>1305</v>
      </c>
      <c r="Z12" s="177">
        <f t="shared" si="13"/>
        <v>623</v>
      </c>
      <c r="AA12" s="177">
        <f t="shared" si="14"/>
        <v>575</v>
      </c>
      <c r="AB12" s="179">
        <f t="shared" si="15"/>
        <v>757</v>
      </c>
      <c r="AC12" s="177">
        <f t="shared" si="16"/>
        <v>529</v>
      </c>
      <c r="AD12" s="177">
        <f t="shared" si="17"/>
        <v>918</v>
      </c>
      <c r="AE12" s="177">
        <f t="shared" si="18"/>
        <v>1281</v>
      </c>
      <c r="AF12" s="177">
        <f t="shared" si="19"/>
        <v>295</v>
      </c>
      <c r="AG12" s="177">
        <f t="shared" si="20"/>
        <v>1578</v>
      </c>
      <c r="AH12" s="177">
        <f t="shared" si="21"/>
        <v>469</v>
      </c>
      <c r="AI12" s="177">
        <f t="shared" si="22"/>
        <v>571</v>
      </c>
      <c r="AJ12" s="177">
        <f t="shared" si="23"/>
        <v>818</v>
      </c>
      <c r="AK12" s="179">
        <f t="shared" si="24"/>
        <v>340</v>
      </c>
      <c r="AL12" s="177">
        <f t="shared" si="25"/>
        <v>744</v>
      </c>
      <c r="AM12" s="177">
        <f t="shared" si="26"/>
        <v>534</v>
      </c>
      <c r="AN12" s="177">
        <f t="shared" si="27"/>
        <v>593</v>
      </c>
      <c r="AO12" s="177">
        <f t="shared" si="28"/>
        <v>855</v>
      </c>
      <c r="AP12" s="177">
        <f t="shared" si="29"/>
        <v>405</v>
      </c>
      <c r="AQ12" s="177">
        <f t="shared" si="30"/>
        <v>2504</v>
      </c>
      <c r="AR12" s="177">
        <f t="shared" si="31"/>
        <v>387</v>
      </c>
      <c r="AS12" s="184">
        <f t="shared" si="32"/>
        <v>1306</v>
      </c>
      <c r="AT12" s="186">
        <v>318</v>
      </c>
      <c r="AU12" s="186">
        <v>622</v>
      </c>
      <c r="AV12" s="186">
        <v>602</v>
      </c>
      <c r="AW12" s="186">
        <v>502</v>
      </c>
      <c r="AX12" s="186">
        <v>930</v>
      </c>
      <c r="AY12" s="186">
        <v>456</v>
      </c>
      <c r="AZ12" s="186">
        <v>87</v>
      </c>
      <c r="BA12" s="186">
        <v>857</v>
      </c>
      <c r="BB12" s="186">
        <v>538</v>
      </c>
      <c r="BC12" s="186">
        <v>838</v>
      </c>
      <c r="BD12" s="186">
        <v>1829</v>
      </c>
      <c r="BE12" s="186">
        <v>339</v>
      </c>
      <c r="BF12" s="187">
        <v>607</v>
      </c>
      <c r="BG12" s="186">
        <v>87</v>
      </c>
      <c r="BH12" s="186">
        <v>250</v>
      </c>
      <c r="BI12" s="186">
        <v>1182</v>
      </c>
      <c r="BJ12" s="186">
        <v>600</v>
      </c>
      <c r="BK12" s="177">
        <v>98</v>
      </c>
      <c r="BL12" s="177">
        <v>348</v>
      </c>
      <c r="BM12" s="177">
        <v>623</v>
      </c>
      <c r="BN12" s="177">
        <v>859</v>
      </c>
      <c r="BO12" s="177">
        <v>82</v>
      </c>
      <c r="BP12" s="177">
        <v>757</v>
      </c>
      <c r="BQ12" s="177">
        <v>493</v>
      </c>
      <c r="BR12" s="179">
        <v>608</v>
      </c>
      <c r="BS12" s="177">
        <v>121</v>
      </c>
      <c r="BT12" s="177">
        <v>1160</v>
      </c>
      <c r="BU12" s="177">
        <v>918</v>
      </c>
      <c r="BV12" s="177">
        <v>1578</v>
      </c>
      <c r="BW12" s="177">
        <v>571</v>
      </c>
      <c r="BX12" s="177">
        <v>529</v>
      </c>
      <c r="BY12" s="177">
        <v>818</v>
      </c>
      <c r="BZ12" s="177">
        <v>469</v>
      </c>
      <c r="CA12" s="177">
        <v>295</v>
      </c>
      <c r="CB12" s="179">
        <v>340</v>
      </c>
      <c r="CC12" s="177">
        <v>855</v>
      </c>
      <c r="CD12" s="177">
        <v>405</v>
      </c>
      <c r="CE12" s="177">
        <v>744</v>
      </c>
      <c r="CF12" s="177">
        <v>392</v>
      </c>
      <c r="CG12" s="177">
        <v>914</v>
      </c>
      <c r="CH12" s="177">
        <v>534</v>
      </c>
      <c r="CI12" s="177">
        <v>387</v>
      </c>
      <c r="CJ12" s="177">
        <v>593</v>
      </c>
      <c r="CK12" s="178">
        <v>2504</v>
      </c>
      <c r="CL12" s="180">
        <v>28639</v>
      </c>
      <c r="CM12" s="56"/>
    </row>
    <row r="13" spans="1:91">
      <c r="A13" s="93">
        <f>ROWS($A$3:A11)</f>
        <v>9</v>
      </c>
      <c r="B13" s="106" t="s">
        <v>69</v>
      </c>
      <c r="C13" s="242">
        <v>2007</v>
      </c>
      <c r="D13" s="314" t="s">
        <v>12</v>
      </c>
      <c r="E13" s="316"/>
      <c r="F13" s="156">
        <v>3683075</v>
      </c>
      <c r="G13" s="177">
        <v>2532487</v>
      </c>
      <c r="H13" s="177">
        <v>1977857</v>
      </c>
      <c r="I13" s="178">
        <v>1628608</v>
      </c>
      <c r="J13" s="181"/>
      <c r="K13" s="156">
        <f t="shared" si="0"/>
        <v>294146</v>
      </c>
      <c r="L13" s="177">
        <f t="shared" si="1"/>
        <v>380813</v>
      </c>
      <c r="M13" s="177">
        <f t="shared" si="2"/>
        <v>128272</v>
      </c>
      <c r="N13" s="177">
        <f t="shared" si="3"/>
        <v>243092</v>
      </c>
      <c r="O13" s="177">
        <f t="shared" si="4"/>
        <v>131058</v>
      </c>
      <c r="P13" s="177">
        <f>'2007'!AZ13+'2007'!BA13</f>
        <v>388200</v>
      </c>
      <c r="Q13" s="177">
        <f>'2007'!AU13</f>
        <v>334602</v>
      </c>
      <c r="R13" s="177">
        <f t="shared" si="5"/>
        <v>1045417</v>
      </c>
      <c r="S13" s="177">
        <f t="shared" si="6"/>
        <v>480436</v>
      </c>
      <c r="T13" s="177">
        <f t="shared" si="7"/>
        <v>92907</v>
      </c>
      <c r="U13" s="179">
        <f t="shared" si="8"/>
        <v>164132</v>
      </c>
      <c r="V13" s="177">
        <f t="shared" si="9"/>
        <v>256420</v>
      </c>
      <c r="W13" s="177">
        <f t="shared" si="10"/>
        <v>109960</v>
      </c>
      <c r="X13" s="177">
        <f t="shared" si="11"/>
        <v>655774</v>
      </c>
      <c r="Y13" s="177">
        <f t="shared" si="12"/>
        <v>935224</v>
      </c>
      <c r="Z13" s="177">
        <f t="shared" si="13"/>
        <v>138525</v>
      </c>
      <c r="AA13" s="177">
        <f t="shared" si="14"/>
        <v>288518</v>
      </c>
      <c r="AB13" s="179">
        <f t="shared" si="15"/>
        <v>148066</v>
      </c>
      <c r="AC13" s="177">
        <f t="shared" si="16"/>
        <v>202025</v>
      </c>
      <c r="AD13" s="177">
        <f t="shared" si="17"/>
        <v>139248</v>
      </c>
      <c r="AE13" s="177">
        <f t="shared" si="18"/>
        <v>408296</v>
      </c>
      <c r="AF13" s="177">
        <f t="shared" si="19"/>
        <v>201880</v>
      </c>
      <c r="AG13" s="177">
        <f t="shared" si="20"/>
        <v>371725</v>
      </c>
      <c r="AH13" s="177">
        <f t="shared" si="21"/>
        <v>246059</v>
      </c>
      <c r="AI13" s="177">
        <f t="shared" si="22"/>
        <v>133059</v>
      </c>
      <c r="AJ13" s="177">
        <f t="shared" si="23"/>
        <v>120344</v>
      </c>
      <c r="AK13" s="179">
        <f t="shared" si="24"/>
        <v>155221</v>
      </c>
      <c r="AL13" s="177">
        <f t="shared" si="25"/>
        <v>181635</v>
      </c>
      <c r="AM13" s="177">
        <f t="shared" si="26"/>
        <v>162746</v>
      </c>
      <c r="AN13" s="177">
        <f t="shared" si="27"/>
        <v>247674</v>
      </c>
      <c r="AO13" s="177">
        <f t="shared" si="28"/>
        <v>258927</v>
      </c>
      <c r="AP13" s="177">
        <f t="shared" si="29"/>
        <v>193334</v>
      </c>
      <c r="AQ13" s="177">
        <f t="shared" si="30"/>
        <v>121008</v>
      </c>
      <c r="AR13" s="177">
        <f t="shared" si="31"/>
        <v>183774</v>
      </c>
      <c r="AS13" s="184">
        <f t="shared" si="32"/>
        <v>279510</v>
      </c>
      <c r="AT13" s="181">
        <v>579988</v>
      </c>
      <c r="AU13" s="181">
        <v>334602</v>
      </c>
      <c r="AV13" s="181">
        <v>480436</v>
      </c>
      <c r="AW13" s="181">
        <v>243092</v>
      </c>
      <c r="AX13" s="181">
        <v>465429</v>
      </c>
      <c r="AY13" s="177">
        <v>380813</v>
      </c>
      <c r="AZ13" s="177">
        <v>115843</v>
      </c>
      <c r="BA13" s="177">
        <v>272357</v>
      </c>
      <c r="BB13" s="177">
        <v>92907</v>
      </c>
      <c r="BC13" s="177">
        <v>164132</v>
      </c>
      <c r="BD13" s="177">
        <v>128272</v>
      </c>
      <c r="BE13" s="177">
        <v>131058</v>
      </c>
      <c r="BF13" s="179">
        <v>294146</v>
      </c>
      <c r="BG13" s="177">
        <v>51849</v>
      </c>
      <c r="BH13" s="177">
        <v>275061</v>
      </c>
      <c r="BI13" s="177">
        <v>380713</v>
      </c>
      <c r="BJ13" s="177">
        <v>204571</v>
      </c>
      <c r="BK13" s="177">
        <v>136796</v>
      </c>
      <c r="BL13" s="177">
        <v>310411</v>
      </c>
      <c r="BM13" s="177">
        <v>138525</v>
      </c>
      <c r="BN13" s="177">
        <v>488017</v>
      </c>
      <c r="BO13" s="177">
        <v>112944</v>
      </c>
      <c r="BP13" s="177">
        <v>148066</v>
      </c>
      <c r="BQ13" s="177">
        <v>175574</v>
      </c>
      <c r="BR13" s="179">
        <v>109960</v>
      </c>
      <c r="BS13" s="177">
        <v>191029</v>
      </c>
      <c r="BT13" s="177">
        <v>217267</v>
      </c>
      <c r="BU13" s="177">
        <v>139248</v>
      </c>
      <c r="BV13" s="177">
        <v>371725</v>
      </c>
      <c r="BW13" s="177">
        <v>133059</v>
      </c>
      <c r="BX13" s="177">
        <v>202025</v>
      </c>
      <c r="BY13" s="177">
        <v>120344</v>
      </c>
      <c r="BZ13" s="177">
        <v>246059</v>
      </c>
      <c r="CA13" s="177">
        <v>201880</v>
      </c>
      <c r="CB13" s="179">
        <v>155221</v>
      </c>
      <c r="CC13" s="177">
        <v>258927</v>
      </c>
      <c r="CD13" s="177">
        <v>193334</v>
      </c>
      <c r="CE13" s="177">
        <v>181635</v>
      </c>
      <c r="CF13" s="177">
        <v>110529</v>
      </c>
      <c r="CG13" s="177">
        <v>168981</v>
      </c>
      <c r="CH13" s="177">
        <v>162746</v>
      </c>
      <c r="CI13" s="177">
        <v>183774</v>
      </c>
      <c r="CJ13" s="177">
        <v>247674</v>
      </c>
      <c r="CK13" s="178">
        <v>121008</v>
      </c>
      <c r="CL13" s="180">
        <v>9822027</v>
      </c>
      <c r="CM13" s="56"/>
    </row>
    <row r="14" spans="1:91">
      <c r="A14" s="93">
        <f>ROWS($A$3:A12)</f>
        <v>10</v>
      </c>
      <c r="B14" s="62" t="s">
        <v>64</v>
      </c>
      <c r="C14" s="312"/>
      <c r="D14" s="314" t="s">
        <v>13</v>
      </c>
      <c r="E14" s="333"/>
      <c r="F14" s="182">
        <f>F13/F7*100</f>
        <v>348.85301396993844</v>
      </c>
      <c r="G14" s="183">
        <f>G13/G7*100</f>
        <v>366.01551942674377</v>
      </c>
      <c r="H14" s="183">
        <f>H13/H7*100</f>
        <v>211.37703176548919</v>
      </c>
      <c r="I14" s="184">
        <f>I13/I7*100</f>
        <v>182.62748594080279</v>
      </c>
      <c r="J14" s="181"/>
      <c r="K14" s="185">
        <f t="shared" si="0"/>
        <v>194.59505947419257</v>
      </c>
      <c r="L14" s="186">
        <f t="shared" si="1"/>
        <v>443.76558603491276</v>
      </c>
      <c r="M14" s="186">
        <f t="shared" si="2"/>
        <v>98.337179261121889</v>
      </c>
      <c r="N14" s="186">
        <f t="shared" si="3"/>
        <v>378.4357681051124</v>
      </c>
      <c r="O14" s="186">
        <f t="shared" si="4"/>
        <v>208.98392652123997</v>
      </c>
      <c r="P14" s="183">
        <f>P13/P7*100</f>
        <v>323.54853227984199</v>
      </c>
      <c r="Q14" s="186">
        <f>'2007'!AU14</f>
        <v>541.55863073561545</v>
      </c>
      <c r="R14" s="183">
        <f>R13/R7*100</f>
        <v>1169.1479248912399</v>
      </c>
      <c r="S14" s="186">
        <f t="shared" si="6"/>
        <v>748.94930473280533</v>
      </c>
      <c r="T14" s="186">
        <f t="shared" si="7"/>
        <v>119.60991309945285</v>
      </c>
      <c r="U14" s="187">
        <f t="shared" si="8"/>
        <v>110.6010781671159</v>
      </c>
      <c r="V14" s="183">
        <f>V13/V7*100</f>
        <v>291.74109428509666</v>
      </c>
      <c r="W14" s="186">
        <f t="shared" si="10"/>
        <v>126.29209353608675</v>
      </c>
      <c r="X14" s="183">
        <f>X13/X7*100</f>
        <v>521.09244632328398</v>
      </c>
      <c r="Y14" s="183">
        <f>Y13/Y7*100</f>
        <v>710.92123967130624</v>
      </c>
      <c r="Z14" s="186">
        <f t="shared" si="13"/>
        <v>122.99448622443995</v>
      </c>
      <c r="AA14" s="183">
        <f>AA13/AA7*100</f>
        <v>429.53401816287038</v>
      </c>
      <c r="AB14" s="187">
        <f t="shared" si="15"/>
        <v>185.66036789507342</v>
      </c>
      <c r="AC14" s="186">
        <f t="shared" si="16"/>
        <v>197.05142210604347</v>
      </c>
      <c r="AD14" s="186">
        <f t="shared" si="17"/>
        <v>204.81261399070422</v>
      </c>
      <c r="AE14" s="183">
        <f>AE13/AE7*100</f>
        <v>266.61965025010119</v>
      </c>
      <c r="AF14" s="186">
        <f t="shared" si="19"/>
        <v>250.2324082452248</v>
      </c>
      <c r="AG14" s="186">
        <f t="shared" si="20"/>
        <v>199.76622957867585</v>
      </c>
      <c r="AH14" s="186">
        <f t="shared" si="21"/>
        <v>300.80562347188265</v>
      </c>
      <c r="AI14" s="186">
        <f t="shared" si="22"/>
        <v>172.9319106351455</v>
      </c>
      <c r="AJ14" s="186">
        <f t="shared" si="23"/>
        <v>163.87602810610599</v>
      </c>
      <c r="AK14" s="187">
        <f t="shared" si="24"/>
        <v>137.22406400565797</v>
      </c>
      <c r="AL14" s="186">
        <f t="shared" si="25"/>
        <v>197.91984483284662</v>
      </c>
      <c r="AM14" s="186">
        <f t="shared" si="26"/>
        <v>115.4431636815038</v>
      </c>
      <c r="AN14" s="186">
        <f t="shared" si="27"/>
        <v>151.77869972607107</v>
      </c>
      <c r="AO14" s="186">
        <f t="shared" si="28"/>
        <v>236.66834239751381</v>
      </c>
      <c r="AP14" s="186">
        <f t="shared" si="29"/>
        <v>372.3833737817327</v>
      </c>
      <c r="AQ14" s="186">
        <f t="shared" si="30"/>
        <v>100.47494104752732</v>
      </c>
      <c r="AR14" s="186">
        <f t="shared" si="31"/>
        <v>276.44333463702276</v>
      </c>
      <c r="AS14" s="184">
        <f t="shared" ref="AS14:CL14" si="33">AS13/AS7*100</f>
        <v>189.36863571385018</v>
      </c>
      <c r="AT14" s="183">
        <f t="shared" si="33"/>
        <v>2797.1449240414759</v>
      </c>
      <c r="AU14" s="183">
        <f t="shared" si="33"/>
        <v>541.55863073561545</v>
      </c>
      <c r="AV14" s="183">
        <f t="shared" si="33"/>
        <v>748.94930473280533</v>
      </c>
      <c r="AW14" s="183">
        <f t="shared" si="33"/>
        <v>378.4357681051124</v>
      </c>
      <c r="AX14" s="183">
        <f t="shared" si="33"/>
        <v>677.65790163361578</v>
      </c>
      <c r="AY14" s="183">
        <f t="shared" si="33"/>
        <v>443.76558603491276</v>
      </c>
      <c r="AZ14" s="183">
        <f t="shared" si="33"/>
        <v>1159.821786143372</v>
      </c>
      <c r="BA14" s="183">
        <f t="shared" si="33"/>
        <v>247.61077876975105</v>
      </c>
      <c r="BB14" s="183">
        <f t="shared" si="33"/>
        <v>119.60991309945285</v>
      </c>
      <c r="BC14" s="183">
        <f t="shared" si="33"/>
        <v>110.6010781671159</v>
      </c>
      <c r="BD14" s="183">
        <f t="shared" si="33"/>
        <v>98.337179261121889</v>
      </c>
      <c r="BE14" s="183">
        <f t="shared" si="33"/>
        <v>208.98392652123997</v>
      </c>
      <c r="BF14" s="188">
        <f t="shared" si="33"/>
        <v>194.59505947419257</v>
      </c>
      <c r="BG14" s="183">
        <f t="shared" si="33"/>
        <v>369.8744471393922</v>
      </c>
      <c r="BH14" s="183">
        <f t="shared" si="33"/>
        <v>1585.7315807679004</v>
      </c>
      <c r="BI14" s="183">
        <f t="shared" si="33"/>
        <v>350.88755760368662</v>
      </c>
      <c r="BJ14" s="183">
        <f t="shared" si="33"/>
        <v>276.91505922165823</v>
      </c>
      <c r="BK14" s="183">
        <f t="shared" si="33"/>
        <v>1256.9695855922082</v>
      </c>
      <c r="BL14" s="183">
        <f t="shared" si="33"/>
        <v>2141.3562362030907</v>
      </c>
      <c r="BM14" s="183">
        <f t="shared" si="33"/>
        <v>122.99448622443995</v>
      </c>
      <c r="BN14" s="183">
        <f t="shared" si="33"/>
        <v>459.64755302716344</v>
      </c>
      <c r="BO14" s="183">
        <f t="shared" si="33"/>
        <v>1152.2546419098144</v>
      </c>
      <c r="BP14" s="183">
        <f t="shared" si="33"/>
        <v>185.66036789507342</v>
      </c>
      <c r="BQ14" s="183">
        <f t="shared" si="33"/>
        <v>306.04866824710643</v>
      </c>
      <c r="BR14" s="188">
        <f t="shared" si="33"/>
        <v>126.29209353608675</v>
      </c>
      <c r="BS14" s="183">
        <f t="shared" si="33"/>
        <v>1248.0661178622763</v>
      </c>
      <c r="BT14" s="183">
        <f t="shared" si="33"/>
        <v>157.63175459980266</v>
      </c>
      <c r="BU14" s="183">
        <f t="shared" si="33"/>
        <v>204.81261399070422</v>
      </c>
      <c r="BV14" s="183">
        <f t="shared" si="33"/>
        <v>199.76622957867585</v>
      </c>
      <c r="BW14" s="183">
        <f t="shared" si="33"/>
        <v>172.9319106351455</v>
      </c>
      <c r="BX14" s="183">
        <f t="shared" si="33"/>
        <v>197.05142210604347</v>
      </c>
      <c r="BY14" s="183">
        <f t="shared" si="33"/>
        <v>163.87602810610599</v>
      </c>
      <c r="BZ14" s="183">
        <f t="shared" si="33"/>
        <v>300.80562347188265</v>
      </c>
      <c r="CA14" s="183">
        <f t="shared" si="33"/>
        <v>250.2324082452248</v>
      </c>
      <c r="CB14" s="188">
        <f t="shared" si="33"/>
        <v>137.22406400565797</v>
      </c>
      <c r="CC14" s="183">
        <f t="shared" si="33"/>
        <v>236.66834239751381</v>
      </c>
      <c r="CD14" s="183">
        <f t="shared" si="33"/>
        <v>372.3833737817327</v>
      </c>
      <c r="CE14" s="183">
        <f t="shared" si="33"/>
        <v>197.91984483284662</v>
      </c>
      <c r="CF14" s="183">
        <f t="shared" si="33"/>
        <v>931.24104810851804</v>
      </c>
      <c r="CG14" s="183">
        <f t="shared" si="33"/>
        <v>124.49606577667758</v>
      </c>
      <c r="CH14" s="183">
        <f t="shared" si="33"/>
        <v>115.4431636815038</v>
      </c>
      <c r="CI14" s="183">
        <f t="shared" si="33"/>
        <v>276.44333463702276</v>
      </c>
      <c r="CJ14" s="183">
        <f t="shared" si="33"/>
        <v>151.77869972607107</v>
      </c>
      <c r="CK14" s="184">
        <f t="shared" si="33"/>
        <v>100.47494104752732</v>
      </c>
      <c r="CL14" s="189">
        <f t="shared" si="33"/>
        <v>274.73125527951356</v>
      </c>
    </row>
    <row r="15" spans="1:91">
      <c r="A15" s="93">
        <f>ROWS($A$3:A13)</f>
        <v>11</v>
      </c>
      <c r="B15" s="67" t="s">
        <v>303</v>
      </c>
      <c r="C15" s="312"/>
      <c r="D15" s="314"/>
      <c r="E15" s="333"/>
      <c r="F15" s="377"/>
      <c r="G15" s="181"/>
      <c r="H15" s="181"/>
      <c r="I15" s="373"/>
      <c r="J15" s="181"/>
      <c r="K15" s="185"/>
      <c r="L15" s="186"/>
      <c r="M15" s="186"/>
      <c r="N15" s="186"/>
      <c r="O15" s="186"/>
      <c r="P15" s="183"/>
      <c r="Q15" s="186"/>
      <c r="R15" s="183"/>
      <c r="S15" s="186"/>
      <c r="T15" s="186"/>
      <c r="U15" s="187"/>
      <c r="V15" s="183"/>
      <c r="W15" s="186"/>
      <c r="X15" s="183"/>
      <c r="Y15" s="183"/>
      <c r="Z15" s="186"/>
      <c r="AA15" s="183"/>
      <c r="AB15" s="187"/>
      <c r="AC15" s="186"/>
      <c r="AD15" s="186"/>
      <c r="AE15" s="183"/>
      <c r="AF15" s="186"/>
      <c r="AG15" s="186"/>
      <c r="AH15" s="186"/>
      <c r="AI15" s="186"/>
      <c r="AJ15" s="186"/>
      <c r="AK15" s="187"/>
      <c r="AL15" s="186"/>
      <c r="AM15" s="186"/>
      <c r="AN15" s="186"/>
      <c r="AO15" s="186"/>
      <c r="AP15" s="186"/>
      <c r="AQ15" s="186"/>
      <c r="AR15" s="186"/>
      <c r="AS15" s="373"/>
      <c r="AT15" s="181"/>
      <c r="AU15" s="181"/>
      <c r="AV15" s="181"/>
      <c r="AW15" s="181"/>
      <c r="AX15" s="181"/>
      <c r="AY15" s="181"/>
      <c r="AZ15" s="181"/>
      <c r="BA15" s="181"/>
      <c r="BB15" s="181"/>
      <c r="BC15" s="181"/>
      <c r="BD15" s="181"/>
      <c r="BE15" s="181"/>
      <c r="BF15" s="372"/>
      <c r="BG15" s="181"/>
      <c r="BH15" s="181"/>
      <c r="BI15" s="181"/>
      <c r="BJ15" s="181"/>
      <c r="BK15" s="181"/>
      <c r="BL15" s="181"/>
      <c r="BM15" s="181"/>
      <c r="BN15" s="181"/>
      <c r="BO15" s="181"/>
      <c r="BP15" s="181"/>
      <c r="BQ15" s="181"/>
      <c r="BR15" s="372"/>
      <c r="BS15" s="181"/>
      <c r="BT15" s="181"/>
      <c r="BU15" s="181"/>
      <c r="BV15" s="181"/>
      <c r="BW15" s="181"/>
      <c r="BX15" s="181"/>
      <c r="BY15" s="181"/>
      <c r="BZ15" s="181"/>
      <c r="CA15" s="181"/>
      <c r="CB15" s="372"/>
      <c r="CC15" s="181"/>
      <c r="CD15" s="181"/>
      <c r="CE15" s="181"/>
      <c r="CF15" s="181"/>
      <c r="CG15" s="181"/>
      <c r="CH15" s="181"/>
      <c r="CI15" s="181"/>
      <c r="CJ15" s="181"/>
      <c r="CK15" s="373"/>
      <c r="CL15" s="318"/>
    </row>
    <row r="16" spans="1:91">
      <c r="A16" s="93">
        <f>ROWS($A$3:A14)</f>
        <v>12</v>
      </c>
      <c r="B16" s="106" t="s">
        <v>214</v>
      </c>
      <c r="C16" s="242">
        <v>2007</v>
      </c>
      <c r="D16" s="314" t="s">
        <v>12</v>
      </c>
      <c r="E16" s="316"/>
      <c r="F16" s="156">
        <v>2130489</v>
      </c>
      <c r="G16" s="177">
        <v>1417458</v>
      </c>
      <c r="H16" s="177">
        <v>1072198</v>
      </c>
      <c r="I16" s="178">
        <v>899938</v>
      </c>
      <c r="J16" s="181"/>
      <c r="K16" s="156">
        <f t="shared" si="0"/>
        <v>147940</v>
      </c>
      <c r="L16" s="177">
        <f t="shared" si="1"/>
        <v>182357</v>
      </c>
      <c r="M16" s="177">
        <f t="shared" si="2"/>
        <v>70320</v>
      </c>
      <c r="N16" s="177">
        <f t="shared" si="3"/>
        <v>111307</v>
      </c>
      <c r="O16" s="177">
        <f t="shared" si="4"/>
        <v>63660</v>
      </c>
      <c r="P16" s="177">
        <f>'2007'!AZ16+'2007'!BA16</f>
        <v>240015</v>
      </c>
      <c r="Q16" s="177">
        <f>'2007'!AU16</f>
        <v>207544</v>
      </c>
      <c r="R16" s="177">
        <f>AT16+AX16</f>
        <v>701463</v>
      </c>
      <c r="S16" s="177">
        <f t="shared" si="6"/>
        <v>250788</v>
      </c>
      <c r="T16" s="177">
        <f t="shared" si="7"/>
        <v>60616</v>
      </c>
      <c r="U16" s="179">
        <f t="shared" si="8"/>
        <v>94477</v>
      </c>
      <c r="V16" s="177">
        <f>BG16+BJ16</f>
        <v>154501</v>
      </c>
      <c r="W16" s="177">
        <f t="shared" si="10"/>
        <v>59593</v>
      </c>
      <c r="X16" s="177">
        <f>BH16+BI16</f>
        <v>404012</v>
      </c>
      <c r="Y16" s="177">
        <f>BK16+BL16+BN16</f>
        <v>532691</v>
      </c>
      <c r="Z16" s="177">
        <f t="shared" si="13"/>
        <v>62121</v>
      </c>
      <c r="AA16" s="177">
        <f>BO16+BQ16</f>
        <v>144117</v>
      </c>
      <c r="AB16" s="179">
        <f t="shared" si="15"/>
        <v>60422</v>
      </c>
      <c r="AC16" s="177">
        <f t="shared" si="16"/>
        <v>109948</v>
      </c>
      <c r="AD16" s="177">
        <f t="shared" si="17"/>
        <v>62596</v>
      </c>
      <c r="AE16" s="177">
        <f>BS16+BT16</f>
        <v>246228</v>
      </c>
      <c r="AF16" s="177">
        <f t="shared" si="19"/>
        <v>100409</v>
      </c>
      <c r="AG16" s="177">
        <f t="shared" si="20"/>
        <v>216439</v>
      </c>
      <c r="AH16" s="177">
        <f t="shared" si="21"/>
        <v>126493</v>
      </c>
      <c r="AI16" s="177">
        <f t="shared" si="22"/>
        <v>69569</v>
      </c>
      <c r="AJ16" s="177">
        <f t="shared" si="23"/>
        <v>69248</v>
      </c>
      <c r="AK16" s="179">
        <f t="shared" si="24"/>
        <v>71268</v>
      </c>
      <c r="AL16" s="177">
        <f t="shared" si="25"/>
        <v>87610</v>
      </c>
      <c r="AM16" s="177">
        <f t="shared" si="26"/>
        <v>93273</v>
      </c>
      <c r="AN16" s="177">
        <f t="shared" si="27"/>
        <v>140283</v>
      </c>
      <c r="AO16" s="177">
        <f t="shared" si="28"/>
        <v>137500</v>
      </c>
      <c r="AP16" s="177">
        <f t="shared" si="29"/>
        <v>95536</v>
      </c>
      <c r="AQ16" s="177">
        <f t="shared" si="30"/>
        <v>63413</v>
      </c>
      <c r="AR16" s="177">
        <f t="shared" si="31"/>
        <v>103179</v>
      </c>
      <c r="AS16" s="184">
        <f>CF16+CG16</f>
        <v>179144</v>
      </c>
      <c r="AT16" s="181">
        <v>466572</v>
      </c>
      <c r="AU16" s="181">
        <v>207544</v>
      </c>
      <c r="AV16" s="181">
        <v>250788</v>
      </c>
      <c r="AW16" s="181">
        <v>111307</v>
      </c>
      <c r="AX16" s="181">
        <v>234891</v>
      </c>
      <c r="AY16" s="177">
        <v>182357</v>
      </c>
      <c r="AZ16" s="177">
        <v>92978</v>
      </c>
      <c r="BA16" s="177">
        <v>147037</v>
      </c>
      <c r="BB16" s="177">
        <v>60616</v>
      </c>
      <c r="BC16" s="177">
        <v>94477</v>
      </c>
      <c r="BD16" s="177">
        <v>70320</v>
      </c>
      <c r="BE16" s="177">
        <v>63660</v>
      </c>
      <c r="BF16" s="179">
        <v>147940</v>
      </c>
      <c r="BG16" s="177">
        <v>42103</v>
      </c>
      <c r="BH16" s="177">
        <v>215693</v>
      </c>
      <c r="BI16" s="177">
        <v>188319</v>
      </c>
      <c r="BJ16" s="177">
        <v>112398</v>
      </c>
      <c r="BK16" s="177">
        <v>107773</v>
      </c>
      <c r="BL16" s="177">
        <v>215274</v>
      </c>
      <c r="BM16" s="177">
        <v>62121</v>
      </c>
      <c r="BN16" s="177">
        <v>209644</v>
      </c>
      <c r="BO16" s="177">
        <v>68985</v>
      </c>
      <c r="BP16" s="177">
        <v>60422</v>
      </c>
      <c r="BQ16" s="177">
        <v>75132</v>
      </c>
      <c r="BR16" s="179">
        <v>59593</v>
      </c>
      <c r="BS16" s="177">
        <v>144774</v>
      </c>
      <c r="BT16" s="177">
        <v>101454</v>
      </c>
      <c r="BU16" s="177">
        <v>62596</v>
      </c>
      <c r="BV16" s="177">
        <v>216439</v>
      </c>
      <c r="BW16" s="177">
        <v>69569</v>
      </c>
      <c r="BX16" s="177">
        <v>109948</v>
      </c>
      <c r="BY16" s="177">
        <v>69248</v>
      </c>
      <c r="BZ16" s="177">
        <v>126493</v>
      </c>
      <c r="CA16" s="177">
        <v>100409</v>
      </c>
      <c r="CB16" s="179">
        <v>71268</v>
      </c>
      <c r="CC16" s="177">
        <v>137500</v>
      </c>
      <c r="CD16" s="177">
        <v>95536</v>
      </c>
      <c r="CE16" s="177">
        <v>87610</v>
      </c>
      <c r="CF16" s="177">
        <v>109494</v>
      </c>
      <c r="CG16" s="177">
        <v>69650</v>
      </c>
      <c r="CH16" s="177">
        <v>93273</v>
      </c>
      <c r="CI16" s="177">
        <v>103179</v>
      </c>
      <c r="CJ16" s="177">
        <v>140283</v>
      </c>
      <c r="CK16" s="178">
        <v>63413</v>
      </c>
      <c r="CL16" s="180">
        <v>5520083</v>
      </c>
    </row>
    <row r="17" spans="1:90" ht="14.25">
      <c r="A17" s="93">
        <f>ROWS($A$3:A15)</f>
        <v>13</v>
      </c>
      <c r="B17" s="62" t="s">
        <v>262</v>
      </c>
      <c r="C17" s="312"/>
      <c r="D17" s="314" t="s">
        <v>4</v>
      </c>
      <c r="E17" s="316"/>
      <c r="F17" s="207">
        <f>(AT16*AT17+AU16*AU17+AV16*AV17+AW16*AW17+AX16*AX17+AY16*AY17+AZ16*AZ17+BA16*BA17+BB16*BB17+BC16*BC17+BD16*BD17+BE16*BE17+BF16*BF17)/F16</f>
        <v>5.0606097004021144</v>
      </c>
      <c r="G17" s="208">
        <f>(BG16*BG17+BH16*BH17+BI16*BI17+BJ16*BJ17+BK16*BK17+BL16*BL17+BM16*BM17+BN16*BN17+BO16*BO17+BP16*BP17+BQ16*BQ17+BR16*BR17)/G16</f>
        <v>5.8882315384300634</v>
      </c>
      <c r="H17" s="208">
        <f>(BS16*BS17+BT16*BT17+BU16*BU17+BV16*BV17+BW16*BW17+BX16*BX17+BY16*BY17+BZ16*BZ17+CA16*CA17+CB16*CB17)/H16</f>
        <v>5.0872517949110145</v>
      </c>
      <c r="I17" s="209">
        <f>(CC16*CC17+CD16*CD17+CE16*CE17+CF16*CF17+CG16*CG17+CH16*CH17+CI16*CI17+CJ16*CJ17+CK16*CK17)/I16</f>
        <v>4.3828819318664172</v>
      </c>
      <c r="J17" s="213"/>
      <c r="K17" s="210">
        <f t="shared" si="0"/>
        <v>4.8</v>
      </c>
      <c r="L17" s="211">
        <f t="shared" si="1"/>
        <v>4.5999999999999996</v>
      </c>
      <c r="M17" s="211">
        <f t="shared" si="2"/>
        <v>4.8</v>
      </c>
      <c r="N17" s="211">
        <f t="shared" si="3"/>
        <v>5</v>
      </c>
      <c r="O17" s="211">
        <f t="shared" si="4"/>
        <v>5.7</v>
      </c>
      <c r="P17" s="208">
        <f>ROUND((AZ16*AZ17/100+BA16*BA17/100)/P16%,1)</f>
        <v>5.6</v>
      </c>
      <c r="Q17" s="211">
        <f>'2007'!AU17</f>
        <v>4.8</v>
      </c>
      <c r="R17" s="208">
        <f>ROUND((AT16*AT17/100+AX16*AX17/100)/R16%,1)</f>
        <v>5.7</v>
      </c>
      <c r="S17" s="211">
        <f t="shared" si="6"/>
        <v>4.0999999999999996</v>
      </c>
      <c r="T17" s="211">
        <f t="shared" si="7"/>
        <v>3.5</v>
      </c>
      <c r="U17" s="212">
        <f t="shared" si="8"/>
        <v>4</v>
      </c>
      <c r="V17" s="208">
        <f>ROUND((BG16*BG17/100+BJ16*BJ17/100)/V16%,1)</f>
        <v>4.8</v>
      </c>
      <c r="W17" s="211">
        <f t="shared" si="10"/>
        <v>4.3</v>
      </c>
      <c r="X17" s="208">
        <f>ROUND((BH16*BH17/100+BI16*BI17/100)/X16%,1)</f>
        <v>6</v>
      </c>
      <c r="Y17" s="208">
        <f>ROUND((BK16*BK17/100+BL16*BL17/100+BN16*BN17/100)/Y16%,1)</f>
        <v>6.6</v>
      </c>
      <c r="Z17" s="211">
        <f t="shared" si="13"/>
        <v>5</v>
      </c>
      <c r="AA17" s="208">
        <f>ROUND((BO16*BO17/100+BQ16*BQ17/100)/AA16%,1)</f>
        <v>5.8</v>
      </c>
      <c r="AB17" s="212">
        <f t="shared" si="15"/>
        <v>4.7</v>
      </c>
      <c r="AC17" s="211">
        <f t="shared" si="16"/>
        <v>4.7</v>
      </c>
      <c r="AD17" s="211">
        <f t="shared" si="17"/>
        <v>3.8</v>
      </c>
      <c r="AE17" s="208">
        <f>ROUND((BS16*BS17/100+BT16*BT17/100)/AE16%,1)</f>
        <v>6.3</v>
      </c>
      <c r="AF17" s="211">
        <f t="shared" si="19"/>
        <v>5.5</v>
      </c>
      <c r="AG17" s="211">
        <f t="shared" si="20"/>
        <v>4.7</v>
      </c>
      <c r="AH17" s="211">
        <f t="shared" si="21"/>
        <v>5.3</v>
      </c>
      <c r="AI17" s="211">
        <f t="shared" si="22"/>
        <v>3.9</v>
      </c>
      <c r="AJ17" s="211">
        <f t="shared" si="23"/>
        <v>4</v>
      </c>
      <c r="AK17" s="212">
        <f t="shared" si="24"/>
        <v>5</v>
      </c>
      <c r="AL17" s="211">
        <f t="shared" si="25"/>
        <v>5.8</v>
      </c>
      <c r="AM17" s="211">
        <f t="shared" si="26"/>
        <v>3</v>
      </c>
      <c r="AN17" s="211">
        <f t="shared" si="27"/>
        <v>3.6</v>
      </c>
      <c r="AO17" s="211">
        <f t="shared" si="28"/>
        <v>4.3</v>
      </c>
      <c r="AP17" s="211">
        <f t="shared" si="29"/>
        <v>4.9000000000000004</v>
      </c>
      <c r="AQ17" s="211">
        <f t="shared" si="30"/>
        <v>5</v>
      </c>
      <c r="AR17" s="211">
        <f t="shared" si="31"/>
        <v>3.8</v>
      </c>
      <c r="AS17" s="209">
        <f>ROUND((CF16*CF17/100+CG16*CG17/100)/AS16%,1)</f>
        <v>4.9000000000000004</v>
      </c>
      <c r="AT17" s="213">
        <v>6.5</v>
      </c>
      <c r="AU17" s="213">
        <v>4.8</v>
      </c>
      <c r="AV17" s="213">
        <v>4.0999999999999996</v>
      </c>
      <c r="AW17" s="213">
        <v>5</v>
      </c>
      <c r="AX17" s="213">
        <v>4.2</v>
      </c>
      <c r="AY17" s="211">
        <v>4.5999999999999996</v>
      </c>
      <c r="AZ17" s="211">
        <v>7</v>
      </c>
      <c r="BA17" s="211">
        <v>4.7</v>
      </c>
      <c r="BB17" s="211">
        <v>3.5</v>
      </c>
      <c r="BC17" s="211">
        <v>4</v>
      </c>
      <c r="BD17" s="211">
        <v>4.8</v>
      </c>
      <c r="BE17" s="211">
        <v>5.7</v>
      </c>
      <c r="BF17" s="212">
        <v>4.8</v>
      </c>
      <c r="BG17" s="211">
        <v>6.5</v>
      </c>
      <c r="BH17" s="211">
        <v>7.2</v>
      </c>
      <c r="BI17" s="211">
        <v>4.5999999999999996</v>
      </c>
      <c r="BJ17" s="211">
        <v>4.0999999999999996</v>
      </c>
      <c r="BK17" s="211">
        <v>6.8</v>
      </c>
      <c r="BL17" s="211">
        <v>8.3000000000000007</v>
      </c>
      <c r="BM17" s="211">
        <v>5</v>
      </c>
      <c r="BN17" s="211">
        <v>4.7</v>
      </c>
      <c r="BO17" s="211">
        <v>8.1</v>
      </c>
      <c r="BP17" s="211">
        <v>4.7</v>
      </c>
      <c r="BQ17" s="211">
        <v>3.7</v>
      </c>
      <c r="BR17" s="212">
        <v>4.3</v>
      </c>
      <c r="BS17" s="211">
        <v>7.8</v>
      </c>
      <c r="BT17" s="211">
        <v>4.2</v>
      </c>
      <c r="BU17" s="211">
        <v>3.8</v>
      </c>
      <c r="BV17" s="211">
        <v>4.7</v>
      </c>
      <c r="BW17" s="211">
        <v>3.9</v>
      </c>
      <c r="BX17" s="211">
        <v>4.7</v>
      </c>
      <c r="BY17" s="211">
        <v>4</v>
      </c>
      <c r="BZ17" s="211">
        <v>5.3</v>
      </c>
      <c r="CA17" s="211">
        <v>5.5</v>
      </c>
      <c r="CB17" s="212">
        <v>5</v>
      </c>
      <c r="CC17" s="211">
        <v>4.3</v>
      </c>
      <c r="CD17" s="211">
        <v>4.9000000000000004</v>
      </c>
      <c r="CE17" s="211">
        <v>5.8</v>
      </c>
      <c r="CF17" s="211">
        <v>5.9</v>
      </c>
      <c r="CG17" s="211">
        <v>3.4</v>
      </c>
      <c r="CH17" s="211">
        <v>3</v>
      </c>
      <c r="CI17" s="211">
        <v>3.8</v>
      </c>
      <c r="CJ17" s="211">
        <v>3.6</v>
      </c>
      <c r="CK17" s="214">
        <v>5</v>
      </c>
      <c r="CL17" s="215">
        <v>4.9000000000000004</v>
      </c>
    </row>
    <row r="18" spans="1:90">
      <c r="A18" s="93">
        <f>ROWS($A$3:A16)</f>
        <v>14</v>
      </c>
      <c r="B18" s="297" t="s">
        <v>304</v>
      </c>
      <c r="C18" s="312"/>
      <c r="D18" s="314" t="s">
        <v>12</v>
      </c>
      <c r="E18" s="316"/>
      <c r="F18" s="156">
        <v>84065</v>
      </c>
      <c r="G18" s="177">
        <v>29190</v>
      </c>
      <c r="H18" s="177">
        <v>77208</v>
      </c>
      <c r="I18" s="178">
        <v>46957</v>
      </c>
      <c r="J18" s="213"/>
      <c r="K18" s="156">
        <f>BF18</f>
        <v>6256</v>
      </c>
      <c r="L18" s="177">
        <f>AY18</f>
        <v>8739</v>
      </c>
      <c r="M18" s="177">
        <f>BD18</f>
        <v>6943</v>
      </c>
      <c r="N18" s="177">
        <f>AW18</f>
        <v>2639</v>
      </c>
      <c r="O18" s="177">
        <f>BE18</f>
        <v>1814</v>
      </c>
      <c r="P18" s="183">
        <f>'2007'!AZ18+'2007'!BA18</f>
        <v>21440</v>
      </c>
      <c r="Q18" s="177">
        <f>'2007'!AU18</f>
        <v>2519</v>
      </c>
      <c r="R18" s="183">
        <f>AT18+AX18</f>
        <v>14752</v>
      </c>
      <c r="S18" s="177">
        <f>AV18</f>
        <v>4108</v>
      </c>
      <c r="T18" s="177">
        <f>BB18</f>
        <v>7702</v>
      </c>
      <c r="U18" s="179">
        <f>BC18</f>
        <v>7153</v>
      </c>
      <c r="V18" s="183">
        <f>BG18+BJ18</f>
        <v>6080</v>
      </c>
      <c r="W18" s="177">
        <f>BR18</f>
        <v>1976</v>
      </c>
      <c r="X18" s="183">
        <f>BH18+BI18</f>
        <v>5832</v>
      </c>
      <c r="Y18" s="183">
        <f>BK18+BL18+BN18</f>
        <v>7989</v>
      </c>
      <c r="Z18" s="177">
        <f>BM18</f>
        <v>3095</v>
      </c>
      <c r="AA18" s="183">
        <f>BO18+BQ18</f>
        <v>2360</v>
      </c>
      <c r="AB18" s="179">
        <f>BP18</f>
        <v>1858</v>
      </c>
      <c r="AC18" s="177">
        <f>BX18</f>
        <v>3803</v>
      </c>
      <c r="AD18" s="177">
        <f>BU18</f>
        <v>10040</v>
      </c>
      <c r="AE18" s="183">
        <f>BS18+BT18</f>
        <v>22621</v>
      </c>
      <c r="AF18" s="177">
        <f>CA18</f>
        <v>5993</v>
      </c>
      <c r="AG18" s="177">
        <f>BV18</f>
        <v>21077</v>
      </c>
      <c r="AH18" s="177">
        <f>BZ18</f>
        <v>4856</v>
      </c>
      <c r="AI18" s="177">
        <f>BW18</f>
        <v>2841</v>
      </c>
      <c r="AJ18" s="177">
        <f>BY18</f>
        <v>1487</v>
      </c>
      <c r="AK18" s="179">
        <f>CB18</f>
        <v>4490</v>
      </c>
      <c r="AL18" s="177">
        <f>CE18</f>
        <v>2263</v>
      </c>
      <c r="AM18" s="177">
        <f>CH18</f>
        <v>5995</v>
      </c>
      <c r="AN18" s="177">
        <f>CJ18</f>
        <v>9801</v>
      </c>
      <c r="AO18" s="177">
        <f>CC18</f>
        <v>3932</v>
      </c>
      <c r="AP18" s="177">
        <f>CD18</f>
        <v>1573</v>
      </c>
      <c r="AQ18" s="177">
        <f>CK18</f>
        <v>4297</v>
      </c>
      <c r="AR18" s="177">
        <f>CI18</f>
        <v>12635</v>
      </c>
      <c r="AS18" s="184">
        <f>CF18+CG18</f>
        <v>6461</v>
      </c>
      <c r="AT18" s="177">
        <v>2417</v>
      </c>
      <c r="AU18" s="177">
        <v>2519</v>
      </c>
      <c r="AV18" s="177">
        <v>4108</v>
      </c>
      <c r="AW18" s="181">
        <v>2639</v>
      </c>
      <c r="AX18" s="177">
        <v>12335</v>
      </c>
      <c r="AY18" s="177">
        <v>8739</v>
      </c>
      <c r="AZ18" s="177">
        <v>2151</v>
      </c>
      <c r="BA18" s="177">
        <v>19289</v>
      </c>
      <c r="BB18" s="177">
        <v>7702</v>
      </c>
      <c r="BC18" s="177">
        <v>7153</v>
      </c>
      <c r="BD18" s="177">
        <v>6943</v>
      </c>
      <c r="BE18" s="177">
        <v>1814</v>
      </c>
      <c r="BF18" s="179">
        <v>6256</v>
      </c>
      <c r="BG18" s="177">
        <v>1187</v>
      </c>
      <c r="BH18" s="177">
        <v>704</v>
      </c>
      <c r="BI18" s="177">
        <v>5128</v>
      </c>
      <c r="BJ18" s="177">
        <v>4893</v>
      </c>
      <c r="BK18" s="177">
        <v>774</v>
      </c>
      <c r="BL18" s="177">
        <v>453</v>
      </c>
      <c r="BM18" s="177">
        <v>3095</v>
      </c>
      <c r="BN18" s="177">
        <v>6762</v>
      </c>
      <c r="BO18" s="177">
        <v>168</v>
      </c>
      <c r="BP18" s="177">
        <v>1858</v>
      </c>
      <c r="BQ18" s="177">
        <v>2192</v>
      </c>
      <c r="BR18" s="179">
        <v>1976</v>
      </c>
      <c r="BS18" s="177">
        <v>1807</v>
      </c>
      <c r="BT18" s="177">
        <v>20814</v>
      </c>
      <c r="BU18" s="177">
        <v>10040</v>
      </c>
      <c r="BV18" s="177">
        <v>21077</v>
      </c>
      <c r="BW18" s="177">
        <v>2841</v>
      </c>
      <c r="BX18" s="177">
        <v>3803</v>
      </c>
      <c r="BY18" s="177">
        <v>1487</v>
      </c>
      <c r="BZ18" s="177">
        <v>4856</v>
      </c>
      <c r="CA18" s="177">
        <v>5993</v>
      </c>
      <c r="CB18" s="179">
        <v>4490</v>
      </c>
      <c r="CC18" s="177">
        <v>3932</v>
      </c>
      <c r="CD18" s="177">
        <v>1573</v>
      </c>
      <c r="CE18" s="177">
        <v>2263</v>
      </c>
      <c r="CF18" s="177">
        <v>491</v>
      </c>
      <c r="CG18" s="177">
        <v>5970</v>
      </c>
      <c r="CH18" s="177">
        <v>5995</v>
      </c>
      <c r="CI18" s="177">
        <v>12635</v>
      </c>
      <c r="CJ18" s="177">
        <v>9801</v>
      </c>
      <c r="CK18" s="178">
        <v>4297</v>
      </c>
      <c r="CL18" s="180">
        <v>237420</v>
      </c>
    </row>
    <row r="19" spans="1:90">
      <c r="A19" s="93">
        <f>ROWS($A$3:A17)</f>
        <v>15</v>
      </c>
      <c r="B19" s="297" t="s">
        <v>302</v>
      </c>
      <c r="C19" s="312"/>
      <c r="D19" s="314" t="s">
        <v>12</v>
      </c>
      <c r="E19" s="322">
        <v>40897</v>
      </c>
      <c r="F19" s="377">
        <v>10248</v>
      </c>
      <c r="G19" s="181">
        <v>5563</v>
      </c>
      <c r="H19" s="181">
        <v>5941</v>
      </c>
      <c r="I19" s="373">
        <v>4792</v>
      </c>
      <c r="J19" s="181"/>
      <c r="K19" s="156">
        <f>BF19</f>
        <v>702</v>
      </c>
      <c r="L19" s="177">
        <f>AY19</f>
        <v>1387</v>
      </c>
      <c r="M19" s="177">
        <f>BD19</f>
        <v>388</v>
      </c>
      <c r="N19" s="177">
        <f>AW19</f>
        <v>398</v>
      </c>
      <c r="O19" s="177">
        <f>BE19</f>
        <v>252</v>
      </c>
      <c r="P19" s="177">
        <f>'2007'!AZ19+'2007'!BA19</f>
        <v>1237</v>
      </c>
      <c r="Q19" s="177">
        <f>'2007'!AU19</f>
        <v>686</v>
      </c>
      <c r="R19" s="177">
        <f>AT19+AX19</f>
        <v>3052</v>
      </c>
      <c r="S19" s="177">
        <f>AV19</f>
        <v>1169</v>
      </c>
      <c r="T19" s="177">
        <f>BB19</f>
        <v>422</v>
      </c>
      <c r="U19" s="179">
        <f>BC19</f>
        <v>555</v>
      </c>
      <c r="V19" s="177">
        <f>BG19+BJ19</f>
        <v>1162</v>
      </c>
      <c r="W19" s="177">
        <f>BR19</f>
        <v>225</v>
      </c>
      <c r="X19" s="177">
        <f>BH19+BI19</f>
        <v>917</v>
      </c>
      <c r="Y19" s="177">
        <f>BK19+BL19+BN19</f>
        <v>1045</v>
      </c>
      <c r="Z19" s="177">
        <f>BM19</f>
        <v>1123</v>
      </c>
      <c r="AA19" s="177">
        <f>BO19+BQ19</f>
        <v>670</v>
      </c>
      <c r="AB19" s="179">
        <f>BP19</f>
        <v>421</v>
      </c>
      <c r="AC19" s="177">
        <f>BX19</f>
        <v>348</v>
      </c>
      <c r="AD19" s="177">
        <f>BU19</f>
        <v>520</v>
      </c>
      <c r="AE19" s="177">
        <f>BS19+BT19</f>
        <v>1222</v>
      </c>
      <c r="AF19" s="177">
        <f>CA19</f>
        <v>619</v>
      </c>
      <c r="AG19" s="177">
        <f>BV19</f>
        <v>1231</v>
      </c>
      <c r="AH19" s="177">
        <f>BZ19</f>
        <v>1278</v>
      </c>
      <c r="AI19" s="177">
        <f>BW19</f>
        <v>263</v>
      </c>
      <c r="AJ19" s="177">
        <f>BY19</f>
        <v>174</v>
      </c>
      <c r="AK19" s="179">
        <f>CB19</f>
        <v>286</v>
      </c>
      <c r="AL19" s="177">
        <f>CE19</f>
        <v>446</v>
      </c>
      <c r="AM19" s="177">
        <f>CH19</f>
        <v>554</v>
      </c>
      <c r="AN19" s="177">
        <f>CJ19</f>
        <v>847</v>
      </c>
      <c r="AO19" s="177">
        <f>CC19</f>
        <v>813</v>
      </c>
      <c r="AP19" s="177">
        <f>CD19</f>
        <v>324</v>
      </c>
      <c r="AQ19" s="177">
        <f>CK19</f>
        <v>489</v>
      </c>
      <c r="AR19" s="177">
        <f>CI19</f>
        <v>763</v>
      </c>
      <c r="AS19" s="184">
        <f>CF19+CG19</f>
        <v>556</v>
      </c>
      <c r="AT19" s="181">
        <v>1188</v>
      </c>
      <c r="AU19" s="181">
        <v>686</v>
      </c>
      <c r="AV19" s="181">
        <v>1169</v>
      </c>
      <c r="AW19" s="181">
        <v>398</v>
      </c>
      <c r="AX19" s="181">
        <v>1864</v>
      </c>
      <c r="AY19" s="177">
        <v>1387</v>
      </c>
      <c r="AZ19" s="177">
        <v>281</v>
      </c>
      <c r="BA19" s="177">
        <v>956</v>
      </c>
      <c r="BB19" s="177">
        <v>422</v>
      </c>
      <c r="BC19" s="177">
        <v>555</v>
      </c>
      <c r="BD19" s="177">
        <v>388</v>
      </c>
      <c r="BE19" s="177">
        <v>252</v>
      </c>
      <c r="BF19" s="179">
        <v>702</v>
      </c>
      <c r="BG19" s="177">
        <v>284</v>
      </c>
      <c r="BH19" s="177">
        <v>642</v>
      </c>
      <c r="BI19" s="177">
        <v>275</v>
      </c>
      <c r="BJ19" s="177">
        <v>878</v>
      </c>
      <c r="BK19" s="177">
        <v>281</v>
      </c>
      <c r="BL19" s="177">
        <v>356</v>
      </c>
      <c r="BM19" s="177">
        <v>1123</v>
      </c>
      <c r="BN19" s="177">
        <v>408</v>
      </c>
      <c r="BO19" s="177">
        <v>169</v>
      </c>
      <c r="BP19" s="177">
        <v>421</v>
      </c>
      <c r="BQ19" s="177">
        <v>501</v>
      </c>
      <c r="BR19" s="179">
        <v>225</v>
      </c>
      <c r="BS19" s="177">
        <v>201</v>
      </c>
      <c r="BT19" s="177">
        <v>1021</v>
      </c>
      <c r="BU19" s="177">
        <v>520</v>
      </c>
      <c r="BV19" s="177">
        <v>1231</v>
      </c>
      <c r="BW19" s="177">
        <v>263</v>
      </c>
      <c r="BX19" s="177">
        <v>348</v>
      </c>
      <c r="BY19" s="177">
        <v>174</v>
      </c>
      <c r="BZ19" s="177">
        <v>1278</v>
      </c>
      <c r="CA19" s="177">
        <v>619</v>
      </c>
      <c r="CB19" s="179">
        <v>286</v>
      </c>
      <c r="CC19" s="177">
        <v>813</v>
      </c>
      <c r="CD19" s="177">
        <v>324</v>
      </c>
      <c r="CE19" s="177">
        <v>446</v>
      </c>
      <c r="CF19" s="177">
        <v>145</v>
      </c>
      <c r="CG19" s="177">
        <v>411</v>
      </c>
      <c r="CH19" s="177">
        <v>554</v>
      </c>
      <c r="CI19" s="177">
        <v>763</v>
      </c>
      <c r="CJ19" s="177">
        <v>847</v>
      </c>
      <c r="CK19" s="178">
        <v>489</v>
      </c>
      <c r="CL19" s="180">
        <v>26544</v>
      </c>
    </row>
    <row r="20" spans="1:90">
      <c r="A20" s="93">
        <f>ROWS($A$3:A18)</f>
        <v>16</v>
      </c>
      <c r="B20" s="106" t="s">
        <v>68</v>
      </c>
      <c r="C20" s="242">
        <v>2007</v>
      </c>
      <c r="D20" s="314" t="s">
        <v>3</v>
      </c>
      <c r="E20" s="316"/>
      <c r="F20" s="210">
        <v>129.934</v>
      </c>
      <c r="G20" s="211">
        <v>82.840999999999994</v>
      </c>
      <c r="H20" s="211">
        <v>57.338999999999999</v>
      </c>
      <c r="I20" s="214">
        <v>51.075000000000003</v>
      </c>
      <c r="J20" s="213"/>
      <c r="K20" s="210">
        <f t="shared" si="0"/>
        <v>8.9209999999999994</v>
      </c>
      <c r="L20" s="211">
        <f t="shared" si="1"/>
        <v>10</v>
      </c>
      <c r="M20" s="211">
        <f t="shared" si="2"/>
        <v>3.645</v>
      </c>
      <c r="N20" s="211">
        <f t="shared" si="3"/>
        <v>5.883</v>
      </c>
      <c r="O20" s="211">
        <f t="shared" si="4"/>
        <v>3.4860000000000002</v>
      </c>
      <c r="P20" s="211">
        <f>'2007'!AZ20+'2007'!BA20</f>
        <v>14.337</v>
      </c>
      <c r="Q20" s="211">
        <f>'2007'!AU20</f>
        <v>14.103</v>
      </c>
      <c r="R20" s="211">
        <f>AT20+AX20</f>
        <v>46.180999999999997</v>
      </c>
      <c r="S20" s="211">
        <f t="shared" si="6"/>
        <v>14.689</v>
      </c>
      <c r="T20" s="211">
        <f t="shared" si="7"/>
        <v>3.2320000000000002</v>
      </c>
      <c r="U20" s="212">
        <f t="shared" si="8"/>
        <v>5.4569999999999999</v>
      </c>
      <c r="V20" s="211">
        <f>BG20+BJ20</f>
        <v>8.9939999999999998</v>
      </c>
      <c r="W20" s="211">
        <f t="shared" si="10"/>
        <v>3.347</v>
      </c>
      <c r="X20" s="211">
        <f>BH20+BI20</f>
        <v>24.305</v>
      </c>
      <c r="Y20" s="211">
        <f>BK20+BL20+BN20</f>
        <v>31.79</v>
      </c>
      <c r="Z20" s="211">
        <f t="shared" si="13"/>
        <v>3.3039999999999998</v>
      </c>
      <c r="AA20" s="211">
        <f>BO20+BQ20</f>
        <v>7.9320000000000004</v>
      </c>
      <c r="AB20" s="212">
        <f t="shared" si="15"/>
        <v>3.17</v>
      </c>
      <c r="AC20" s="211">
        <f t="shared" si="16"/>
        <v>5.6630000000000003</v>
      </c>
      <c r="AD20" s="211">
        <f t="shared" si="17"/>
        <v>3.1419999999999999</v>
      </c>
      <c r="AE20" s="211">
        <f>BS20+BT20</f>
        <v>12.189</v>
      </c>
      <c r="AF20" s="211">
        <f t="shared" si="19"/>
        <v>5.3730000000000002</v>
      </c>
      <c r="AG20" s="211">
        <f t="shared" si="20"/>
        <v>12.085000000000001</v>
      </c>
      <c r="AH20" s="211">
        <f t="shared" si="21"/>
        <v>7.1420000000000003</v>
      </c>
      <c r="AI20" s="211">
        <f t="shared" si="22"/>
        <v>3.9060000000000001</v>
      </c>
      <c r="AJ20" s="211">
        <f t="shared" si="23"/>
        <v>4.1109999999999998</v>
      </c>
      <c r="AK20" s="212">
        <f t="shared" si="24"/>
        <v>3.7280000000000002</v>
      </c>
      <c r="AL20" s="211">
        <f t="shared" si="25"/>
        <v>4.8639999999999999</v>
      </c>
      <c r="AM20" s="211">
        <f t="shared" si="26"/>
        <v>5.9870000000000001</v>
      </c>
      <c r="AN20" s="211">
        <f t="shared" si="27"/>
        <v>7.3789999999999996</v>
      </c>
      <c r="AO20" s="211">
        <f t="shared" si="28"/>
        <v>7.4619999999999997</v>
      </c>
      <c r="AP20" s="211">
        <f t="shared" si="29"/>
        <v>4.8879999999999999</v>
      </c>
      <c r="AQ20" s="211">
        <f t="shared" si="30"/>
        <v>3.3359999999999999</v>
      </c>
      <c r="AR20" s="211">
        <f t="shared" si="31"/>
        <v>6.4729999999999999</v>
      </c>
      <c r="AS20" s="209">
        <f>CF20+CG20</f>
        <v>10.686</v>
      </c>
      <c r="AT20" s="213">
        <v>31.748000000000001</v>
      </c>
      <c r="AU20" s="213">
        <v>14.103</v>
      </c>
      <c r="AV20" s="213">
        <v>14.689</v>
      </c>
      <c r="AW20" s="213">
        <v>5.883</v>
      </c>
      <c r="AX20" s="213">
        <v>14.433</v>
      </c>
      <c r="AY20" s="211">
        <v>10</v>
      </c>
      <c r="AZ20" s="211">
        <v>4.7859999999999996</v>
      </c>
      <c r="BA20" s="211">
        <v>9.5510000000000002</v>
      </c>
      <c r="BB20" s="211">
        <v>3.2320000000000002</v>
      </c>
      <c r="BC20" s="211">
        <v>5.4569999999999999</v>
      </c>
      <c r="BD20" s="211">
        <v>3.645</v>
      </c>
      <c r="BE20" s="211">
        <v>3.4860000000000002</v>
      </c>
      <c r="BF20" s="212">
        <v>8.9209999999999994</v>
      </c>
      <c r="BG20" s="211">
        <v>2.0990000000000002</v>
      </c>
      <c r="BH20" s="211">
        <v>13.010999999999999</v>
      </c>
      <c r="BI20" s="211">
        <v>11.294</v>
      </c>
      <c r="BJ20" s="211">
        <v>6.8949999999999996</v>
      </c>
      <c r="BK20" s="211">
        <v>5.63</v>
      </c>
      <c r="BL20" s="211">
        <v>13.683</v>
      </c>
      <c r="BM20" s="211">
        <v>3.3039999999999998</v>
      </c>
      <c r="BN20" s="211">
        <v>12.477</v>
      </c>
      <c r="BO20" s="211">
        <v>3.7890000000000001</v>
      </c>
      <c r="BP20" s="211">
        <v>3.17</v>
      </c>
      <c r="BQ20" s="211">
        <v>4.1429999999999998</v>
      </c>
      <c r="BR20" s="212">
        <v>3.347</v>
      </c>
      <c r="BS20" s="211">
        <v>7.2869999999999999</v>
      </c>
      <c r="BT20" s="211">
        <v>4.9020000000000001</v>
      </c>
      <c r="BU20" s="211">
        <v>3.1419999999999999</v>
      </c>
      <c r="BV20" s="211">
        <v>12.085000000000001</v>
      </c>
      <c r="BW20" s="211">
        <v>3.9060000000000001</v>
      </c>
      <c r="BX20" s="211">
        <v>5.6630000000000003</v>
      </c>
      <c r="BY20" s="211">
        <v>4.1109999999999998</v>
      </c>
      <c r="BZ20" s="211">
        <v>7.1420000000000003</v>
      </c>
      <c r="CA20" s="211">
        <v>5.3730000000000002</v>
      </c>
      <c r="CB20" s="212">
        <v>3.7280000000000002</v>
      </c>
      <c r="CC20" s="211">
        <v>7.4619999999999997</v>
      </c>
      <c r="CD20" s="211">
        <v>4.8879999999999999</v>
      </c>
      <c r="CE20" s="211">
        <v>4.8639999999999999</v>
      </c>
      <c r="CF20" s="211">
        <v>6.343</v>
      </c>
      <c r="CG20" s="211">
        <v>4.343</v>
      </c>
      <c r="CH20" s="211">
        <v>5.9870000000000001</v>
      </c>
      <c r="CI20" s="211">
        <v>6.4729999999999999</v>
      </c>
      <c r="CJ20" s="211">
        <v>7.3789999999999996</v>
      </c>
      <c r="CK20" s="214">
        <v>3.3359999999999999</v>
      </c>
      <c r="CL20" s="215">
        <v>321.18900000000002</v>
      </c>
    </row>
    <row r="21" spans="1:90">
      <c r="A21" s="93">
        <f>ROWS($A$3:A19)</f>
        <v>17</v>
      </c>
      <c r="B21" s="60" t="s">
        <v>65</v>
      </c>
      <c r="C21" s="323"/>
      <c r="D21" s="332" t="s">
        <v>4</v>
      </c>
      <c r="E21" s="333"/>
      <c r="F21" s="207">
        <f>F119/F20%</f>
        <v>0.6318592516200533</v>
      </c>
      <c r="G21" s="208">
        <f>G119/G20%</f>
        <v>0.48647408891732358</v>
      </c>
      <c r="H21" s="208">
        <f>H119/H20%</f>
        <v>0.99059976630216784</v>
      </c>
      <c r="I21" s="209">
        <f>I119/I20%</f>
        <v>1.023984336759667</v>
      </c>
      <c r="J21" s="213"/>
      <c r="K21" s="207">
        <f t="shared" ref="K21:AP21" si="34">K119/K20%</f>
        <v>0.95280798116803056</v>
      </c>
      <c r="L21" s="208">
        <f t="shared" si="34"/>
        <v>0.79999999999999993</v>
      </c>
      <c r="M21" s="208">
        <f t="shared" si="34"/>
        <v>1.728395061728395</v>
      </c>
      <c r="N21" s="208">
        <f t="shared" si="34"/>
        <v>0.59493455719870825</v>
      </c>
      <c r="O21" s="208">
        <f t="shared" si="34"/>
        <v>0.91795754446356848</v>
      </c>
      <c r="P21" s="208">
        <f t="shared" si="34"/>
        <v>0.80212038780777017</v>
      </c>
      <c r="Q21" s="208">
        <f t="shared" si="34"/>
        <v>0</v>
      </c>
      <c r="R21" s="208">
        <f t="shared" si="34"/>
        <v>0.3226435114007925</v>
      </c>
      <c r="S21" s="208">
        <f t="shared" si="34"/>
        <v>0.4016611069507795</v>
      </c>
      <c r="T21" s="208">
        <f t="shared" si="34"/>
        <v>1.9183168316831682</v>
      </c>
      <c r="U21" s="216">
        <f t="shared" si="34"/>
        <v>1.8141836173721826</v>
      </c>
      <c r="V21" s="208">
        <f t="shared" si="34"/>
        <v>0.67822993106515461</v>
      </c>
      <c r="W21" s="208">
        <f t="shared" si="34"/>
        <v>0.77681505826112929</v>
      </c>
      <c r="X21" s="208">
        <f t="shared" si="34"/>
        <v>0.32092162106562439</v>
      </c>
      <c r="Y21" s="208">
        <f t="shared" si="34"/>
        <v>0.33343818810946835</v>
      </c>
      <c r="Z21" s="208">
        <f t="shared" si="34"/>
        <v>1.5435835351089588</v>
      </c>
      <c r="AA21" s="208">
        <f t="shared" si="34"/>
        <v>0.47907211296016133</v>
      </c>
      <c r="AB21" s="216">
        <f t="shared" si="34"/>
        <v>1.2933753943217667</v>
      </c>
      <c r="AC21" s="208">
        <f t="shared" si="34"/>
        <v>0.70633939607981633</v>
      </c>
      <c r="AD21" s="208">
        <f t="shared" si="34"/>
        <v>1.5595162316995546</v>
      </c>
      <c r="AE21" s="208">
        <f t="shared" si="34"/>
        <v>1.0009024530314217</v>
      </c>
      <c r="AF21" s="208">
        <f t="shared" si="34"/>
        <v>0.81890936162292938</v>
      </c>
      <c r="AG21" s="208">
        <f t="shared" si="34"/>
        <v>1.1501861812163838</v>
      </c>
      <c r="AH21" s="208">
        <f t="shared" si="34"/>
        <v>1.1341360963315599</v>
      </c>
      <c r="AI21" s="208">
        <f t="shared" si="34"/>
        <v>0.8704557091653865</v>
      </c>
      <c r="AJ21" s="208">
        <f t="shared" si="34"/>
        <v>0.58379956215032835</v>
      </c>
      <c r="AK21" s="216">
        <f t="shared" si="34"/>
        <v>0.96566523605150201</v>
      </c>
      <c r="AL21" s="208">
        <f t="shared" si="34"/>
        <v>0.71957236842105277</v>
      </c>
      <c r="AM21" s="208">
        <f t="shared" si="34"/>
        <v>1.4197427760146986</v>
      </c>
      <c r="AN21" s="208">
        <f t="shared" si="34"/>
        <v>1.4907168993088495</v>
      </c>
      <c r="AO21" s="208">
        <f t="shared" si="34"/>
        <v>0.68346287858482979</v>
      </c>
      <c r="AP21" s="208">
        <f t="shared" si="34"/>
        <v>0.47054009819967269</v>
      </c>
      <c r="AQ21" s="208">
        <f t="shared" ref="AQ21:BV21" si="35">AQ119/AQ20%</f>
        <v>1.6486810551558753</v>
      </c>
      <c r="AR21" s="208">
        <f t="shared" si="35"/>
        <v>1.2976981306967406</v>
      </c>
      <c r="AS21" s="209">
        <f t="shared" si="35"/>
        <v>0.72992700729927007</v>
      </c>
      <c r="AT21" s="208">
        <f t="shared" si="35"/>
        <v>0.17953886859014742</v>
      </c>
      <c r="AU21" s="208">
        <f t="shared" si="35"/>
        <v>0.29780897681344398</v>
      </c>
      <c r="AV21" s="208">
        <f t="shared" si="35"/>
        <v>0.4016611069507795</v>
      </c>
      <c r="AW21" s="208">
        <f t="shared" si="35"/>
        <v>0.59493455719870825</v>
      </c>
      <c r="AX21" s="208">
        <f t="shared" si="35"/>
        <v>0.63742811612277428</v>
      </c>
      <c r="AY21" s="208">
        <f t="shared" si="35"/>
        <v>0.79999999999999993</v>
      </c>
      <c r="AZ21" s="208">
        <f t="shared" si="35"/>
        <v>0.37609694943585459</v>
      </c>
      <c r="BA21" s="208">
        <f t="shared" si="35"/>
        <v>1.0156004606847451</v>
      </c>
      <c r="BB21" s="208">
        <f t="shared" si="35"/>
        <v>1.9183168316831682</v>
      </c>
      <c r="BC21" s="208">
        <f t="shared" si="35"/>
        <v>1.8141836173721826</v>
      </c>
      <c r="BD21" s="208">
        <f t="shared" si="35"/>
        <v>1.728395061728395</v>
      </c>
      <c r="BE21" s="208">
        <f t="shared" si="35"/>
        <v>0.91795754446356848</v>
      </c>
      <c r="BF21" s="216">
        <f t="shared" si="35"/>
        <v>0.95280798116803056</v>
      </c>
      <c r="BG21" s="208">
        <f t="shared" si="35"/>
        <v>0.76226774654597418</v>
      </c>
      <c r="BH21" s="208">
        <f t="shared" si="35"/>
        <v>0.13834447774959649</v>
      </c>
      <c r="BI21" s="208">
        <f t="shared" si="35"/>
        <v>0.53125553391181157</v>
      </c>
      <c r="BJ21" s="208">
        <f t="shared" si="35"/>
        <v>0.65264684554024655</v>
      </c>
      <c r="BK21" s="208">
        <f t="shared" si="35"/>
        <v>0.30195381882770872</v>
      </c>
      <c r="BL21" s="208">
        <f t="shared" si="35"/>
        <v>0.10962508221881165</v>
      </c>
      <c r="BM21" s="208">
        <f t="shared" si="35"/>
        <v>1.5435835351089588</v>
      </c>
      <c r="BN21" s="208">
        <f t="shared" si="35"/>
        <v>0.59309128796986454</v>
      </c>
      <c r="BO21" s="208">
        <f t="shared" si="35"/>
        <v>0.31670625494853522</v>
      </c>
      <c r="BP21" s="208">
        <f t="shared" si="35"/>
        <v>1.2933753943217667</v>
      </c>
      <c r="BQ21" s="208">
        <f t="shared" si="35"/>
        <v>0.62756456673907801</v>
      </c>
      <c r="BR21" s="216">
        <f t="shared" si="35"/>
        <v>0.77681505826112929</v>
      </c>
      <c r="BS21" s="208">
        <f t="shared" si="35"/>
        <v>0.23329216412789899</v>
      </c>
      <c r="BT21" s="208">
        <f t="shared" si="35"/>
        <v>2.1419828641370868</v>
      </c>
      <c r="BU21" s="208">
        <f t="shared" si="35"/>
        <v>1.5595162316995546</v>
      </c>
      <c r="BV21" s="208">
        <f t="shared" si="35"/>
        <v>1.1501861812163838</v>
      </c>
      <c r="BW21" s="208">
        <f t="shared" ref="BW21:CL21" si="36">BW119/BW20%</f>
        <v>0.8704557091653865</v>
      </c>
      <c r="BX21" s="208">
        <f t="shared" si="36"/>
        <v>0.70633939607981633</v>
      </c>
      <c r="BY21" s="208">
        <f t="shared" si="36"/>
        <v>0.58379956215032835</v>
      </c>
      <c r="BZ21" s="208">
        <f t="shared" si="36"/>
        <v>1.1341360963315599</v>
      </c>
      <c r="CA21" s="208">
        <f t="shared" si="36"/>
        <v>0.81890936162292938</v>
      </c>
      <c r="CB21" s="216">
        <f t="shared" si="36"/>
        <v>0.96566523605150201</v>
      </c>
      <c r="CC21" s="208">
        <f t="shared" si="36"/>
        <v>0.68346287858482979</v>
      </c>
      <c r="CD21" s="208">
        <f t="shared" si="36"/>
        <v>0.47054009819967269</v>
      </c>
      <c r="CE21" s="208">
        <f t="shared" si="36"/>
        <v>0.71957236842105277</v>
      </c>
      <c r="CF21" s="208">
        <f t="shared" si="36"/>
        <v>0.17341951757843291</v>
      </c>
      <c r="CG21" s="208">
        <f t="shared" si="36"/>
        <v>1.5427124107759616</v>
      </c>
      <c r="CH21" s="208">
        <f t="shared" si="36"/>
        <v>1.4197427760146986</v>
      </c>
      <c r="CI21" s="208">
        <f t="shared" si="36"/>
        <v>1.2976981306967406</v>
      </c>
      <c r="CJ21" s="208">
        <f t="shared" si="36"/>
        <v>1.4907168993088495</v>
      </c>
      <c r="CK21" s="209">
        <f t="shared" si="36"/>
        <v>1.6486810551558753</v>
      </c>
      <c r="CL21" s="217">
        <f t="shared" si="36"/>
        <v>0.72075942824941064</v>
      </c>
    </row>
    <row r="22" spans="1:90">
      <c r="A22" s="93">
        <f>ROWS($A$3:A20)</f>
        <v>18</v>
      </c>
      <c r="B22" s="67" t="s">
        <v>70</v>
      </c>
      <c r="C22" s="241"/>
      <c r="D22" s="332"/>
      <c r="E22" s="333"/>
      <c r="F22" s="156"/>
      <c r="G22" s="177"/>
      <c r="H22" s="177"/>
      <c r="I22" s="178"/>
      <c r="J22" s="181"/>
      <c r="K22" s="156"/>
      <c r="L22" s="177"/>
      <c r="M22" s="177"/>
      <c r="N22" s="177"/>
      <c r="O22" s="177"/>
      <c r="P22" s="177"/>
      <c r="Q22" s="177">
        <f>'2007'!AU22</f>
        <v>0</v>
      </c>
      <c r="R22" s="177"/>
      <c r="S22" s="177"/>
      <c r="T22" s="177"/>
      <c r="U22" s="179"/>
      <c r="V22" s="177"/>
      <c r="W22" s="177"/>
      <c r="X22" s="177"/>
      <c r="Y22" s="177"/>
      <c r="Z22" s="177"/>
      <c r="AA22" s="177"/>
      <c r="AB22" s="179"/>
      <c r="AC22" s="177"/>
      <c r="AD22" s="177"/>
      <c r="AE22" s="177"/>
      <c r="AF22" s="177"/>
      <c r="AG22" s="177"/>
      <c r="AH22" s="177"/>
      <c r="AI22" s="177"/>
      <c r="AJ22" s="177"/>
      <c r="AK22" s="179"/>
      <c r="AL22" s="177"/>
      <c r="AM22" s="177"/>
      <c r="AN22" s="177"/>
      <c r="AO22" s="177"/>
      <c r="AP22" s="177"/>
      <c r="AQ22" s="177"/>
      <c r="AR22" s="177"/>
      <c r="AS22" s="178"/>
      <c r="AT22" s="177"/>
      <c r="AU22" s="177"/>
      <c r="AV22" s="177"/>
      <c r="AW22" s="177"/>
      <c r="AX22" s="177"/>
      <c r="AY22" s="177"/>
      <c r="AZ22" s="177"/>
      <c r="BA22" s="177"/>
      <c r="BB22" s="177"/>
      <c r="BC22" s="177"/>
      <c r="BD22" s="177"/>
      <c r="BE22" s="177"/>
      <c r="BF22" s="179"/>
      <c r="BG22" s="177"/>
      <c r="BH22" s="177"/>
      <c r="BI22" s="177"/>
      <c r="BJ22" s="177"/>
      <c r="BK22" s="177"/>
      <c r="BL22" s="177"/>
      <c r="BM22" s="177"/>
      <c r="BN22" s="177"/>
      <c r="BO22" s="177"/>
      <c r="BP22" s="177"/>
      <c r="BQ22" s="177"/>
      <c r="BR22" s="179"/>
      <c r="BS22" s="177"/>
      <c r="BT22" s="177"/>
      <c r="BU22" s="177"/>
      <c r="BV22" s="177"/>
      <c r="BW22" s="177"/>
      <c r="BX22" s="177"/>
      <c r="BY22" s="177"/>
      <c r="BZ22" s="177"/>
      <c r="CA22" s="177"/>
      <c r="CB22" s="179"/>
      <c r="CC22" s="177"/>
      <c r="CD22" s="177"/>
      <c r="CE22" s="177"/>
      <c r="CF22" s="177"/>
      <c r="CG22" s="177"/>
      <c r="CH22" s="177"/>
      <c r="CI22" s="177"/>
      <c r="CJ22" s="177"/>
      <c r="CK22" s="178"/>
      <c r="CL22" s="180"/>
    </row>
    <row r="23" spans="1:90">
      <c r="A23" s="93">
        <f>ROWS($A$3:A21)</f>
        <v>19</v>
      </c>
      <c r="B23" s="59" t="s">
        <v>272</v>
      </c>
      <c r="C23" s="244">
        <v>2007</v>
      </c>
      <c r="D23" s="332" t="s">
        <v>14</v>
      </c>
      <c r="E23" s="316">
        <v>40695</v>
      </c>
      <c r="F23" s="156">
        <v>18213</v>
      </c>
      <c r="G23" s="177">
        <v>6647</v>
      </c>
      <c r="H23" s="177">
        <v>18128</v>
      </c>
      <c r="I23" s="178">
        <v>14061</v>
      </c>
      <c r="J23" s="181"/>
      <c r="K23" s="156">
        <f>BF23</f>
        <v>2292</v>
      </c>
      <c r="L23" s="177">
        <f>AY23</f>
        <v>1708</v>
      </c>
      <c r="M23" s="177">
        <f>BD23</f>
        <v>1904</v>
      </c>
      <c r="N23" s="177">
        <f>AW23</f>
        <v>933</v>
      </c>
      <c r="O23" s="177">
        <f>BE23</f>
        <v>663</v>
      </c>
      <c r="P23" s="177">
        <f>'2007'!AZ23+'2007'!BA23</f>
        <v>2947</v>
      </c>
      <c r="Q23" s="177">
        <f>'2007'!AU23</f>
        <v>783</v>
      </c>
      <c r="R23" s="177">
        <f t="shared" ref="R23:R29" si="37">AT23+AX23</f>
        <v>2063</v>
      </c>
      <c r="S23" s="177">
        <f>AV23</f>
        <v>851</v>
      </c>
      <c r="T23" s="177">
        <f t="shared" ref="T23:U26" si="38">BB23</f>
        <v>1584</v>
      </c>
      <c r="U23" s="179">
        <f t="shared" si="38"/>
        <v>2485</v>
      </c>
      <c r="V23" s="177">
        <f t="shared" ref="V23:V29" si="39">BG23+BJ23</f>
        <v>1004</v>
      </c>
      <c r="W23" s="177">
        <f>BR23</f>
        <v>746</v>
      </c>
      <c r="X23" s="177">
        <f t="shared" ref="X23:X29" si="40">BH23+BI23</f>
        <v>1093</v>
      </c>
      <c r="Y23" s="177">
        <f t="shared" ref="Y23:Y29" si="41">BK23+BL23+BN23</f>
        <v>1372</v>
      </c>
      <c r="Z23" s="177">
        <f>BM23</f>
        <v>1151</v>
      </c>
      <c r="AA23" s="177">
        <f t="shared" ref="AA23:AA29" si="42">BO23+BQ23</f>
        <v>593</v>
      </c>
      <c r="AB23" s="179">
        <f>BP23</f>
        <v>688</v>
      </c>
      <c r="AC23" s="177">
        <f>BX23</f>
        <v>1325</v>
      </c>
      <c r="AD23" s="177">
        <f>BU23</f>
        <v>1995</v>
      </c>
      <c r="AE23" s="177">
        <f t="shared" ref="AE23:AE29" si="43">BS23+BT23</f>
        <v>4082</v>
      </c>
      <c r="AF23" s="177">
        <f>CA23</f>
        <v>1371</v>
      </c>
      <c r="AG23" s="177">
        <f>BV23</f>
        <v>4968</v>
      </c>
      <c r="AH23" s="177">
        <f>BZ23</f>
        <v>1123</v>
      </c>
      <c r="AI23" s="177">
        <f>BW23</f>
        <v>1066</v>
      </c>
      <c r="AJ23" s="177">
        <f>BY23</f>
        <v>567</v>
      </c>
      <c r="AK23" s="179">
        <f>CB23</f>
        <v>1631</v>
      </c>
      <c r="AL23" s="177">
        <f>CE23</f>
        <v>924</v>
      </c>
      <c r="AM23" s="177">
        <f>CH23</f>
        <v>2207</v>
      </c>
      <c r="AN23" s="177">
        <f>CJ23</f>
        <v>3110</v>
      </c>
      <c r="AO23" s="177">
        <f t="shared" ref="AO23:AP26" si="44">CC23</f>
        <v>1336</v>
      </c>
      <c r="AP23" s="177">
        <f t="shared" si="44"/>
        <v>546</v>
      </c>
      <c r="AQ23" s="177">
        <f>CK23</f>
        <v>1583</v>
      </c>
      <c r="AR23" s="177">
        <f>CI23</f>
        <v>1996</v>
      </c>
      <c r="AS23" s="184">
        <f t="shared" ref="AS23:AS29" si="45">CF23+CG23</f>
        <v>2359</v>
      </c>
      <c r="AT23" s="177">
        <v>257</v>
      </c>
      <c r="AU23" s="177">
        <v>783</v>
      </c>
      <c r="AV23" s="177">
        <v>851</v>
      </c>
      <c r="AW23" s="181">
        <v>933</v>
      </c>
      <c r="AX23" s="177">
        <v>1806</v>
      </c>
      <c r="AY23" s="177">
        <v>1708</v>
      </c>
      <c r="AZ23" s="177">
        <v>216</v>
      </c>
      <c r="BA23" s="177">
        <v>2731</v>
      </c>
      <c r="BB23" s="177">
        <v>1584</v>
      </c>
      <c r="BC23" s="177">
        <v>2485</v>
      </c>
      <c r="BD23" s="177">
        <v>1904</v>
      </c>
      <c r="BE23" s="177">
        <v>663</v>
      </c>
      <c r="BF23" s="179">
        <v>2292</v>
      </c>
      <c r="BG23" s="177">
        <v>181</v>
      </c>
      <c r="BH23" s="177">
        <v>88</v>
      </c>
      <c r="BI23" s="177">
        <v>1005</v>
      </c>
      <c r="BJ23" s="177">
        <v>823</v>
      </c>
      <c r="BK23" s="177">
        <v>104</v>
      </c>
      <c r="BL23" s="177">
        <v>80</v>
      </c>
      <c r="BM23" s="177">
        <v>1151</v>
      </c>
      <c r="BN23" s="177">
        <v>1188</v>
      </c>
      <c r="BO23" s="177">
        <v>37</v>
      </c>
      <c r="BP23" s="177">
        <v>688</v>
      </c>
      <c r="BQ23" s="177">
        <v>556</v>
      </c>
      <c r="BR23" s="179">
        <v>746</v>
      </c>
      <c r="BS23" s="177">
        <v>271</v>
      </c>
      <c r="BT23" s="177">
        <v>3811</v>
      </c>
      <c r="BU23" s="177">
        <v>1995</v>
      </c>
      <c r="BV23" s="177">
        <v>4968</v>
      </c>
      <c r="BW23" s="177">
        <v>1066</v>
      </c>
      <c r="BX23" s="177">
        <v>1325</v>
      </c>
      <c r="BY23" s="177">
        <v>567</v>
      </c>
      <c r="BZ23" s="177">
        <v>1123</v>
      </c>
      <c r="CA23" s="177">
        <v>1371</v>
      </c>
      <c r="CB23" s="179">
        <v>1631</v>
      </c>
      <c r="CC23" s="177">
        <v>1336</v>
      </c>
      <c r="CD23" s="177">
        <v>546</v>
      </c>
      <c r="CE23" s="177">
        <v>924</v>
      </c>
      <c r="CF23" s="177">
        <v>146</v>
      </c>
      <c r="CG23" s="177">
        <v>2213</v>
      </c>
      <c r="CH23" s="177">
        <v>2207</v>
      </c>
      <c r="CI23" s="177">
        <v>1996</v>
      </c>
      <c r="CJ23" s="177">
        <v>3110</v>
      </c>
      <c r="CK23" s="178">
        <v>1583</v>
      </c>
      <c r="CL23" s="180">
        <v>57049</v>
      </c>
    </row>
    <row r="24" spans="1:90">
      <c r="A24" s="93">
        <f>ROWS($A$3:A22)</f>
        <v>20</v>
      </c>
      <c r="B24" s="59" t="s">
        <v>268</v>
      </c>
      <c r="C24" s="241"/>
      <c r="D24" s="332" t="s">
        <v>14</v>
      </c>
      <c r="E24" s="316">
        <v>40695</v>
      </c>
      <c r="F24" s="156">
        <f>3245+2664</f>
        <v>5909</v>
      </c>
      <c r="G24" s="177">
        <f>1077+1228</f>
        <v>2305</v>
      </c>
      <c r="H24" s="177">
        <f>3971+3685</f>
        <v>7656</v>
      </c>
      <c r="I24" s="178">
        <f>658+2103</f>
        <v>2761</v>
      </c>
      <c r="J24" s="181"/>
      <c r="K24" s="156">
        <f>BF24</f>
        <v>415</v>
      </c>
      <c r="L24" s="177">
        <f>AY24</f>
        <v>820</v>
      </c>
      <c r="M24" s="177">
        <f>BD24</f>
        <v>421</v>
      </c>
      <c r="N24" s="177">
        <f>AW24</f>
        <v>206</v>
      </c>
      <c r="O24" s="177">
        <f>BE24</f>
        <v>77</v>
      </c>
      <c r="P24" s="177">
        <f>'2007'!AZ24+'2007'!BA24</f>
        <v>1453</v>
      </c>
      <c r="Q24" s="177">
        <f>'2007'!AU24</f>
        <v>199</v>
      </c>
      <c r="R24" s="177">
        <f t="shared" si="37"/>
        <v>1090</v>
      </c>
      <c r="S24" s="177">
        <f>AV24</f>
        <v>300</v>
      </c>
      <c r="T24" s="177">
        <f t="shared" si="38"/>
        <v>528</v>
      </c>
      <c r="U24" s="179">
        <f t="shared" si="38"/>
        <v>400</v>
      </c>
      <c r="V24" s="177">
        <f t="shared" si="39"/>
        <v>631</v>
      </c>
      <c r="W24" s="177">
        <f>BR24</f>
        <v>221</v>
      </c>
      <c r="X24" s="177">
        <f t="shared" si="40"/>
        <v>394</v>
      </c>
      <c r="Y24" s="177">
        <f t="shared" si="41"/>
        <v>423</v>
      </c>
      <c r="Z24" s="177">
        <f>BM24</f>
        <v>224</v>
      </c>
      <c r="AA24" s="177">
        <f t="shared" si="42"/>
        <v>191</v>
      </c>
      <c r="AB24" s="179">
        <f>BP24</f>
        <v>221</v>
      </c>
      <c r="AC24" s="177">
        <f>BX24</f>
        <v>268</v>
      </c>
      <c r="AD24" s="177">
        <f>BU24</f>
        <v>1067</v>
      </c>
      <c r="AE24" s="177">
        <f t="shared" si="43"/>
        <v>2187</v>
      </c>
      <c r="AF24" s="177">
        <f>CA24</f>
        <v>468</v>
      </c>
      <c r="AG24" s="177">
        <f>BV24</f>
        <v>2596</v>
      </c>
      <c r="AH24" s="177">
        <f>BZ24</f>
        <v>361</v>
      </c>
      <c r="AI24" s="177">
        <f>BW24</f>
        <v>252</v>
      </c>
      <c r="AJ24" s="177">
        <f>BY24</f>
        <v>87</v>
      </c>
      <c r="AK24" s="179">
        <f>CB24</f>
        <v>370</v>
      </c>
      <c r="AL24" s="177">
        <f>CE24</f>
        <v>166</v>
      </c>
      <c r="AM24" s="177">
        <f>CH24</f>
        <v>318</v>
      </c>
      <c r="AN24" s="177">
        <f>CJ24</f>
        <v>541</v>
      </c>
      <c r="AO24" s="177">
        <f t="shared" si="44"/>
        <v>284</v>
      </c>
      <c r="AP24" s="177">
        <f t="shared" si="44"/>
        <v>144</v>
      </c>
      <c r="AQ24" s="177">
        <f>CK24</f>
        <v>277</v>
      </c>
      <c r="AR24" s="177">
        <f>CI24</f>
        <v>723</v>
      </c>
      <c r="AS24" s="184">
        <f t="shared" si="45"/>
        <v>308</v>
      </c>
      <c r="AT24" s="177">
        <f>116+46</f>
        <v>162</v>
      </c>
      <c r="AU24" s="177">
        <f>73+126</f>
        <v>199</v>
      </c>
      <c r="AV24" s="177">
        <f>123+177</f>
        <v>300</v>
      </c>
      <c r="AW24" s="181">
        <f>67+139</f>
        <v>206</v>
      </c>
      <c r="AX24" s="177">
        <f>730+198</f>
        <v>928</v>
      </c>
      <c r="AY24" s="177">
        <f>437+383</f>
        <v>820</v>
      </c>
      <c r="AZ24" s="177">
        <f>41+40</f>
        <v>81</v>
      </c>
      <c r="BA24" s="177">
        <f>1038+334</f>
        <v>1372</v>
      </c>
      <c r="BB24" s="177">
        <f>263+265</f>
        <v>528</v>
      </c>
      <c r="BC24" s="177">
        <f>40+360</f>
        <v>400</v>
      </c>
      <c r="BD24" s="177">
        <f>237+184</f>
        <v>421</v>
      </c>
      <c r="BE24" s="177">
        <f>19+58</f>
        <v>77</v>
      </c>
      <c r="BF24" s="179">
        <f>61+354</f>
        <v>415</v>
      </c>
      <c r="BG24" s="177">
        <f>110+32</f>
        <v>142</v>
      </c>
      <c r="BH24" s="177">
        <v>33</v>
      </c>
      <c r="BI24" s="177">
        <f>205+156</f>
        <v>361</v>
      </c>
      <c r="BJ24" s="177">
        <f>343+146</f>
        <v>489</v>
      </c>
      <c r="BK24" s="177">
        <v>41</v>
      </c>
      <c r="BL24" s="177">
        <v>24</v>
      </c>
      <c r="BM24" s="177">
        <f>36+188</f>
        <v>224</v>
      </c>
      <c r="BN24" s="177">
        <f>183+175</f>
        <v>358</v>
      </c>
      <c r="BO24" s="177">
        <v>20</v>
      </c>
      <c r="BP24" s="177">
        <f>23+198</f>
        <v>221</v>
      </c>
      <c r="BQ24" s="177">
        <f>79+92</f>
        <v>171</v>
      </c>
      <c r="BR24" s="179">
        <f>19+202</f>
        <v>221</v>
      </c>
      <c r="BS24" s="177">
        <f>133+38</f>
        <v>171</v>
      </c>
      <c r="BT24" s="177">
        <f>1405+611</f>
        <v>2016</v>
      </c>
      <c r="BU24" s="177">
        <f>713+354</f>
        <v>1067</v>
      </c>
      <c r="BV24" s="177">
        <f>1247+1349</f>
        <v>2596</v>
      </c>
      <c r="BW24" s="177">
        <f>17+235</f>
        <v>252</v>
      </c>
      <c r="BX24" s="177">
        <f>20+248</f>
        <v>268</v>
      </c>
      <c r="BY24" s="177">
        <f>6+81</f>
        <v>87</v>
      </c>
      <c r="BZ24" s="177">
        <f>181+180</f>
        <v>361</v>
      </c>
      <c r="CA24" s="177">
        <f>200+268</f>
        <v>468</v>
      </c>
      <c r="CB24" s="179">
        <f>49+321</f>
        <v>370</v>
      </c>
      <c r="CC24" s="177">
        <f>55+229</f>
        <v>284</v>
      </c>
      <c r="CD24" s="177">
        <f>39+105</f>
        <v>144</v>
      </c>
      <c r="CE24" s="177">
        <f>17+149</f>
        <v>166</v>
      </c>
      <c r="CF24" s="177">
        <v>35</v>
      </c>
      <c r="CG24" s="177">
        <f>50+223</f>
        <v>273</v>
      </c>
      <c r="CH24" s="177">
        <f>49+269</f>
        <v>318</v>
      </c>
      <c r="CI24" s="177">
        <f>318+405</f>
        <v>723</v>
      </c>
      <c r="CJ24" s="177">
        <f>85+456</f>
        <v>541</v>
      </c>
      <c r="CK24" s="178">
        <f>31+246</f>
        <v>277</v>
      </c>
      <c r="CL24" s="180">
        <f>8951+9680</f>
        <v>18631</v>
      </c>
    </row>
    <row r="25" spans="1:90">
      <c r="A25" s="93">
        <f>ROWS($A$3:A23)</f>
        <v>21</v>
      </c>
      <c r="B25" s="59" t="s">
        <v>269</v>
      </c>
      <c r="C25" s="241"/>
      <c r="D25" s="332" t="s">
        <v>14</v>
      </c>
      <c r="E25" s="316">
        <v>40695</v>
      </c>
      <c r="F25" s="156">
        <v>2380</v>
      </c>
      <c r="G25" s="177">
        <v>924</v>
      </c>
      <c r="H25" s="177">
        <v>3174</v>
      </c>
      <c r="I25" s="178">
        <v>1978</v>
      </c>
      <c r="J25" s="181"/>
      <c r="K25" s="156">
        <f>BF25</f>
        <v>377</v>
      </c>
      <c r="L25" s="177">
        <f>AY25</f>
        <v>262</v>
      </c>
      <c r="M25" s="177">
        <f>BD25</f>
        <v>219</v>
      </c>
      <c r="N25" s="177">
        <f>AW25</f>
        <v>126</v>
      </c>
      <c r="O25" s="177">
        <f>BE25</f>
        <v>79</v>
      </c>
      <c r="P25" s="177">
        <f>'2007'!AZ25+'2007'!BA25</f>
        <v>352</v>
      </c>
      <c r="Q25" s="177">
        <f>'2007'!AU25</f>
        <v>113</v>
      </c>
      <c r="R25" s="177">
        <f t="shared" si="37"/>
        <v>179</v>
      </c>
      <c r="S25" s="177">
        <f>AV25</f>
        <v>135</v>
      </c>
      <c r="T25" s="177">
        <f t="shared" si="38"/>
        <v>213</v>
      </c>
      <c r="U25" s="179">
        <f t="shared" si="38"/>
        <v>325</v>
      </c>
      <c r="V25" s="177">
        <f t="shared" si="39"/>
        <v>117</v>
      </c>
      <c r="W25" s="177">
        <f>BR25</f>
        <v>154</v>
      </c>
      <c r="X25" s="177">
        <f t="shared" si="40"/>
        <v>139</v>
      </c>
      <c r="Y25" s="177">
        <f t="shared" si="41"/>
        <v>144</v>
      </c>
      <c r="Z25" s="177">
        <f>BM25</f>
        <v>157</v>
      </c>
      <c r="AA25" s="177">
        <f t="shared" si="42"/>
        <v>72</v>
      </c>
      <c r="AB25" s="179">
        <f>BP25</f>
        <v>141</v>
      </c>
      <c r="AC25" s="177">
        <f>BX25</f>
        <v>222</v>
      </c>
      <c r="AD25" s="177">
        <f>BU25</f>
        <v>305</v>
      </c>
      <c r="AE25" s="177">
        <f t="shared" si="43"/>
        <v>551</v>
      </c>
      <c r="AF25" s="177">
        <f>CA25</f>
        <v>250</v>
      </c>
      <c r="AG25" s="177">
        <f>BV25</f>
        <v>1001</v>
      </c>
      <c r="AH25" s="177">
        <f>BZ25</f>
        <v>139</v>
      </c>
      <c r="AI25" s="177">
        <f>BW25</f>
        <v>229</v>
      </c>
      <c r="AJ25" s="177">
        <f>BY25</f>
        <v>106</v>
      </c>
      <c r="AK25" s="179">
        <f>CB25</f>
        <v>371</v>
      </c>
      <c r="AL25" s="177">
        <f>CE25</f>
        <v>173</v>
      </c>
      <c r="AM25" s="177">
        <f>CH25</f>
        <v>261</v>
      </c>
      <c r="AN25" s="177">
        <f>CJ25</f>
        <v>339</v>
      </c>
      <c r="AO25" s="177">
        <f t="shared" si="44"/>
        <v>223</v>
      </c>
      <c r="AP25" s="177">
        <f t="shared" si="44"/>
        <v>98</v>
      </c>
      <c r="AQ25" s="177">
        <f>CK25</f>
        <v>254</v>
      </c>
      <c r="AR25" s="177">
        <f>CI25</f>
        <v>345</v>
      </c>
      <c r="AS25" s="184">
        <f t="shared" si="45"/>
        <v>285</v>
      </c>
      <c r="AT25" s="177">
        <v>37</v>
      </c>
      <c r="AU25" s="177">
        <v>113</v>
      </c>
      <c r="AV25" s="177">
        <v>135</v>
      </c>
      <c r="AW25" s="181">
        <v>126</v>
      </c>
      <c r="AX25" s="177">
        <v>142</v>
      </c>
      <c r="AY25" s="177">
        <v>262</v>
      </c>
      <c r="AZ25" s="177">
        <v>42</v>
      </c>
      <c r="BA25" s="177">
        <v>310</v>
      </c>
      <c r="BB25" s="177">
        <v>213</v>
      </c>
      <c r="BC25" s="177">
        <v>325</v>
      </c>
      <c r="BD25" s="177">
        <v>219</v>
      </c>
      <c r="BE25" s="177">
        <v>79</v>
      </c>
      <c r="BF25" s="179">
        <v>377</v>
      </c>
      <c r="BG25" s="177">
        <v>16</v>
      </c>
      <c r="BH25" s="177">
        <v>13</v>
      </c>
      <c r="BI25" s="177">
        <v>126</v>
      </c>
      <c r="BJ25" s="177">
        <f>101</f>
        <v>101</v>
      </c>
      <c r="BK25" s="177">
        <v>12</v>
      </c>
      <c r="BL25" s="177">
        <v>6</v>
      </c>
      <c r="BM25" s="177">
        <v>157</v>
      </c>
      <c r="BN25" s="177">
        <v>126</v>
      </c>
      <c r="BO25" s="177">
        <v>3</v>
      </c>
      <c r="BP25" s="177">
        <v>141</v>
      </c>
      <c r="BQ25" s="177">
        <v>69</v>
      </c>
      <c r="BR25" s="179">
        <v>154</v>
      </c>
      <c r="BS25" s="177">
        <v>28</v>
      </c>
      <c r="BT25" s="177">
        <v>523</v>
      </c>
      <c r="BU25" s="177">
        <v>305</v>
      </c>
      <c r="BV25" s="177">
        <v>1001</v>
      </c>
      <c r="BW25" s="177">
        <v>229</v>
      </c>
      <c r="BX25" s="177">
        <v>222</v>
      </c>
      <c r="BY25" s="177">
        <v>106</v>
      </c>
      <c r="BZ25" s="177">
        <v>139</v>
      </c>
      <c r="CA25" s="177">
        <v>250</v>
      </c>
      <c r="CB25" s="179">
        <v>371</v>
      </c>
      <c r="CC25" s="177">
        <v>223</v>
      </c>
      <c r="CD25" s="177">
        <v>98</v>
      </c>
      <c r="CE25" s="177">
        <v>173</v>
      </c>
      <c r="CF25" s="177">
        <v>11</v>
      </c>
      <c r="CG25" s="177">
        <v>274</v>
      </c>
      <c r="CH25" s="177">
        <v>261</v>
      </c>
      <c r="CI25" s="177">
        <v>345</v>
      </c>
      <c r="CJ25" s="177">
        <v>339</v>
      </c>
      <c r="CK25" s="178">
        <v>254</v>
      </c>
      <c r="CL25" s="180">
        <v>8456</v>
      </c>
    </row>
    <row r="26" spans="1:90">
      <c r="A26" s="93">
        <f>ROWS($A$3:A24)</f>
        <v>22</v>
      </c>
      <c r="B26" s="59" t="s">
        <v>270</v>
      </c>
      <c r="C26" s="241"/>
      <c r="D26" s="332" t="s">
        <v>14</v>
      </c>
      <c r="E26" s="316">
        <v>40695</v>
      </c>
      <c r="F26" s="156">
        <f>1624+1371</f>
        <v>2995</v>
      </c>
      <c r="G26" s="177">
        <f>573+410</f>
        <v>983</v>
      </c>
      <c r="H26" s="177">
        <f>1755+1249</f>
        <v>3004</v>
      </c>
      <c r="I26" s="178">
        <f>1450+1499</f>
        <v>2949</v>
      </c>
      <c r="J26" s="181"/>
      <c r="K26" s="156">
        <f>BF26</f>
        <v>565</v>
      </c>
      <c r="L26" s="177">
        <f>AY26</f>
        <v>253</v>
      </c>
      <c r="M26" s="177">
        <f>BD26</f>
        <v>339</v>
      </c>
      <c r="N26" s="177">
        <f>AW26</f>
        <v>164</v>
      </c>
      <c r="O26" s="177">
        <f>BE26</f>
        <v>131</v>
      </c>
      <c r="P26" s="177">
        <f>'2007'!AZ26+'2007'!BA26</f>
        <v>317</v>
      </c>
      <c r="Q26" s="177">
        <f>'2007'!AU26</f>
        <v>157</v>
      </c>
      <c r="R26" s="177">
        <f t="shared" si="37"/>
        <v>202</v>
      </c>
      <c r="S26" s="177">
        <f>AV26</f>
        <v>126</v>
      </c>
      <c r="T26" s="177">
        <f t="shared" si="38"/>
        <v>249</v>
      </c>
      <c r="U26" s="179">
        <f t="shared" si="38"/>
        <v>492</v>
      </c>
      <c r="V26" s="177">
        <f t="shared" si="39"/>
        <v>103</v>
      </c>
      <c r="W26" s="177">
        <f>BR26</f>
        <v>120</v>
      </c>
      <c r="X26" s="177">
        <f t="shared" si="40"/>
        <v>127</v>
      </c>
      <c r="Y26" s="177">
        <f t="shared" si="41"/>
        <v>199</v>
      </c>
      <c r="Z26" s="177">
        <f>BM26</f>
        <v>220</v>
      </c>
      <c r="AA26" s="177">
        <f t="shared" si="42"/>
        <v>90</v>
      </c>
      <c r="AB26" s="179">
        <f>BP26</f>
        <v>124</v>
      </c>
      <c r="AC26" s="177">
        <f>BX26</f>
        <v>234</v>
      </c>
      <c r="AD26" s="177">
        <f>BU26</f>
        <v>324</v>
      </c>
      <c r="AE26" s="177">
        <f t="shared" si="43"/>
        <v>548</v>
      </c>
      <c r="AF26" s="177">
        <f>CA26</f>
        <v>284</v>
      </c>
      <c r="AG26" s="177">
        <f>BV26</f>
        <v>730</v>
      </c>
      <c r="AH26" s="177">
        <f>BZ26</f>
        <v>183</v>
      </c>
      <c r="AI26" s="177">
        <f>BW26</f>
        <v>210</v>
      </c>
      <c r="AJ26" s="177">
        <f>BY26</f>
        <v>125</v>
      </c>
      <c r="AK26" s="179">
        <f>CB26</f>
        <v>366</v>
      </c>
      <c r="AL26" s="177">
        <f>CE26</f>
        <v>203</v>
      </c>
      <c r="AM26" s="177">
        <f>CH26</f>
        <v>416</v>
      </c>
      <c r="AN26" s="177">
        <f>CJ26</f>
        <v>665</v>
      </c>
      <c r="AO26" s="177">
        <f t="shared" si="44"/>
        <v>290</v>
      </c>
      <c r="AP26" s="177">
        <f t="shared" si="44"/>
        <v>95</v>
      </c>
      <c r="AQ26" s="177">
        <f>CK26</f>
        <v>343</v>
      </c>
      <c r="AR26" s="177">
        <f>CI26</f>
        <v>408</v>
      </c>
      <c r="AS26" s="184">
        <f t="shared" si="45"/>
        <v>529</v>
      </c>
      <c r="AT26" s="181">
        <v>24</v>
      </c>
      <c r="AU26" s="181">
        <f>84+73</f>
        <v>157</v>
      </c>
      <c r="AV26" s="181">
        <f>70+56</f>
        <v>126</v>
      </c>
      <c r="AW26" s="181">
        <f>98+66</f>
        <v>164</v>
      </c>
      <c r="AX26" s="181">
        <f>94+84</f>
        <v>178</v>
      </c>
      <c r="AY26" s="177">
        <f>151+102</f>
        <v>253</v>
      </c>
      <c r="AZ26" s="177">
        <v>24</v>
      </c>
      <c r="BA26" s="177">
        <f>164+129</f>
        <v>293</v>
      </c>
      <c r="BB26" s="177">
        <f>131+118</f>
        <v>249</v>
      </c>
      <c r="BC26" s="177">
        <f>254+238</f>
        <v>492</v>
      </c>
      <c r="BD26" s="177">
        <f>174+165</f>
        <v>339</v>
      </c>
      <c r="BE26" s="177">
        <f>71+60</f>
        <v>131</v>
      </c>
      <c r="BF26" s="179">
        <f>306+259</f>
        <v>565</v>
      </c>
      <c r="BG26" s="177">
        <v>8</v>
      </c>
      <c r="BH26" s="177">
        <v>11</v>
      </c>
      <c r="BI26" s="177">
        <f>63+53</f>
        <v>116</v>
      </c>
      <c r="BJ26" s="177">
        <f>61+34</f>
        <v>95</v>
      </c>
      <c r="BK26" s="177">
        <v>20</v>
      </c>
      <c r="BL26" s="177">
        <v>8</v>
      </c>
      <c r="BM26" s="177">
        <f>119+101</f>
        <v>220</v>
      </c>
      <c r="BN26" s="177">
        <f>96+75</f>
        <v>171</v>
      </c>
      <c r="BO26" s="177">
        <v>2</v>
      </c>
      <c r="BP26" s="177">
        <f>75+49</f>
        <v>124</v>
      </c>
      <c r="BQ26" s="177">
        <f>58+30</f>
        <v>88</v>
      </c>
      <c r="BR26" s="179">
        <f>75+45</f>
        <v>120</v>
      </c>
      <c r="BS26" s="177">
        <f>15+12</f>
        <v>27</v>
      </c>
      <c r="BT26" s="177">
        <f>309+212</f>
        <v>521</v>
      </c>
      <c r="BU26" s="177">
        <f>202+122</f>
        <v>324</v>
      </c>
      <c r="BV26" s="177">
        <f>490+240</f>
        <v>730</v>
      </c>
      <c r="BW26" s="177">
        <f>120+90</f>
        <v>210</v>
      </c>
      <c r="BX26" s="177">
        <f>111+123</f>
        <v>234</v>
      </c>
      <c r="BY26" s="177">
        <f>62+63</f>
        <v>125</v>
      </c>
      <c r="BZ26" s="177">
        <f>100+83</f>
        <v>183</v>
      </c>
      <c r="CA26" s="177">
        <f>148+136</f>
        <v>284</v>
      </c>
      <c r="CB26" s="179">
        <f>198+168</f>
        <v>366</v>
      </c>
      <c r="CC26" s="177">
        <f>153+137</f>
        <v>290</v>
      </c>
      <c r="CD26" s="177">
        <f>51+44</f>
        <v>95</v>
      </c>
      <c r="CE26" s="177">
        <f>117+86</f>
        <v>203</v>
      </c>
      <c r="CF26" s="177">
        <v>27</v>
      </c>
      <c r="CG26" s="177">
        <f>251+251</f>
        <v>502</v>
      </c>
      <c r="CH26" s="177">
        <f>194+222</f>
        <v>416</v>
      </c>
      <c r="CI26" s="177">
        <f>226+182</f>
        <v>408</v>
      </c>
      <c r="CJ26" s="177">
        <f>287+378</f>
        <v>665</v>
      </c>
      <c r="CK26" s="178">
        <f>160+183</f>
        <v>343</v>
      </c>
      <c r="CL26" s="180">
        <f>5402+4529</f>
        <v>9931</v>
      </c>
    </row>
    <row r="27" spans="1:90">
      <c r="A27" s="93">
        <f>ROWS($A$3:A25)</f>
        <v>23</v>
      </c>
      <c r="B27" s="59" t="s">
        <v>271</v>
      </c>
      <c r="C27" s="241"/>
      <c r="D27" s="332" t="s">
        <v>14</v>
      </c>
      <c r="E27" s="316">
        <v>40695</v>
      </c>
      <c r="F27" s="156">
        <f>848+733+1253+1026</f>
        <v>3860</v>
      </c>
      <c r="G27" s="177">
        <f>254+215+339+284</f>
        <v>1092</v>
      </c>
      <c r="H27" s="177">
        <f>657+556+738+532</f>
        <v>2483</v>
      </c>
      <c r="I27" s="178">
        <f>816+720+1164+952</f>
        <v>3652</v>
      </c>
      <c r="J27" s="181"/>
      <c r="K27" s="156">
        <f>BF27</f>
        <v>506</v>
      </c>
      <c r="L27" s="177">
        <f>AY27</f>
        <v>239</v>
      </c>
      <c r="M27" s="177">
        <f>BD27</f>
        <v>499</v>
      </c>
      <c r="N27" s="177">
        <f>AW27</f>
        <v>235</v>
      </c>
      <c r="O27" s="177">
        <f>BE27</f>
        <v>176</v>
      </c>
      <c r="P27" s="177">
        <f>'2007'!AZ27+'2007'!BA27</f>
        <v>459</v>
      </c>
      <c r="Q27" s="177">
        <f>'2007'!AU27</f>
        <v>158</v>
      </c>
      <c r="R27" s="177">
        <f t="shared" si="37"/>
        <v>385</v>
      </c>
      <c r="S27" s="177">
        <f>AV27</f>
        <v>161</v>
      </c>
      <c r="T27" s="177">
        <f>BB27</f>
        <v>314</v>
      </c>
      <c r="U27" s="179">
        <f>BC27</f>
        <v>728</v>
      </c>
      <c r="V27" s="177">
        <f t="shared" si="39"/>
        <v>63</v>
      </c>
      <c r="W27" s="177">
        <f>BR27</f>
        <v>139</v>
      </c>
      <c r="X27" s="177">
        <f t="shared" si="40"/>
        <v>157</v>
      </c>
      <c r="Y27" s="177">
        <f t="shared" si="41"/>
        <v>306</v>
      </c>
      <c r="Z27" s="177">
        <f>BM27</f>
        <v>242</v>
      </c>
      <c r="AA27" s="177">
        <f t="shared" si="42"/>
        <v>95</v>
      </c>
      <c r="AB27" s="179">
        <f>BP27</f>
        <v>90</v>
      </c>
      <c r="AC27" s="177">
        <f>BX27</f>
        <v>359</v>
      </c>
      <c r="AD27" s="177">
        <f>BU27</f>
        <v>214</v>
      </c>
      <c r="AE27" s="177">
        <f t="shared" si="43"/>
        <v>554</v>
      </c>
      <c r="AF27" s="177">
        <f>CA27</f>
        <v>260</v>
      </c>
      <c r="AG27" s="177">
        <f>BV27</f>
        <v>373</v>
      </c>
      <c r="AH27" s="177">
        <f>BZ27</f>
        <v>191</v>
      </c>
      <c r="AI27" s="177">
        <f>BW27</f>
        <v>162</v>
      </c>
      <c r="AJ27" s="177">
        <f>BY27</f>
        <v>84</v>
      </c>
      <c r="AK27" s="179">
        <f>CB27</f>
        <v>286</v>
      </c>
      <c r="AL27" s="177">
        <f>CE27</f>
        <v>175</v>
      </c>
      <c r="AM27" s="177">
        <f>CH27</f>
        <v>663</v>
      </c>
      <c r="AN27" s="177">
        <f>CJ27</f>
        <v>1062</v>
      </c>
      <c r="AO27" s="177">
        <f>CC27</f>
        <v>273</v>
      </c>
      <c r="AP27" s="177">
        <f>CD27</f>
        <v>102</v>
      </c>
      <c r="AQ27" s="177">
        <f>CK27</f>
        <v>350</v>
      </c>
      <c r="AR27" s="177">
        <f>CI27</f>
        <v>371</v>
      </c>
      <c r="AS27" s="184">
        <f t="shared" si="45"/>
        <v>656</v>
      </c>
      <c r="AT27" s="181">
        <f>1+3+10+9</f>
        <v>23</v>
      </c>
      <c r="AU27" s="181">
        <f>32+25+63+38</f>
        <v>158</v>
      </c>
      <c r="AV27" s="181">
        <f>31+32+54+44</f>
        <v>161</v>
      </c>
      <c r="AW27" s="181">
        <f>50+46+74+65</f>
        <v>235</v>
      </c>
      <c r="AX27" s="181">
        <f>76+67+115+104</f>
        <v>362</v>
      </c>
      <c r="AY27" s="177">
        <f>69+47+70+53</f>
        <v>239</v>
      </c>
      <c r="AZ27" s="177">
        <f>9+8+20+12</f>
        <v>49</v>
      </c>
      <c r="BA27" s="177">
        <f>81+69+153+107</f>
        <v>410</v>
      </c>
      <c r="BB27" s="177">
        <f>76+62+86+90</f>
        <v>314</v>
      </c>
      <c r="BC27" s="177">
        <f>147+138+238+205</f>
        <v>728</v>
      </c>
      <c r="BD27" s="177">
        <f>106+106+159+128</f>
        <v>499</v>
      </c>
      <c r="BE27" s="177">
        <f>35+29+63+49</f>
        <v>176</v>
      </c>
      <c r="BF27" s="179">
        <f>135+101+148+122</f>
        <v>506</v>
      </c>
      <c r="BG27" s="177">
        <v>7</v>
      </c>
      <c r="BH27" s="177">
        <v>18</v>
      </c>
      <c r="BI27" s="177">
        <f>35+25+42+37</f>
        <v>139</v>
      </c>
      <c r="BJ27" s="177">
        <f>22+10+12+12</f>
        <v>56</v>
      </c>
      <c r="BK27" s="177">
        <v>22</v>
      </c>
      <c r="BL27" s="177">
        <v>21</v>
      </c>
      <c r="BM27" s="177">
        <f>49+58+75+60</f>
        <v>242</v>
      </c>
      <c r="BN27" s="177">
        <f>63+41+78+81</f>
        <v>263</v>
      </c>
      <c r="BO27" s="177">
        <v>4</v>
      </c>
      <c r="BP27" s="177">
        <f>17+23+31+19</f>
        <v>90</v>
      </c>
      <c r="BQ27" s="177">
        <f>19+16+28+28</f>
        <v>91</v>
      </c>
      <c r="BR27" s="179">
        <f>34+25+44+36</f>
        <v>139</v>
      </c>
      <c r="BS27" s="177">
        <v>29</v>
      </c>
      <c r="BT27" s="177">
        <f>135+137+175+78</f>
        <v>525</v>
      </c>
      <c r="BU27" s="177">
        <f>79+43+50+42</f>
        <v>214</v>
      </c>
      <c r="BV27" s="177">
        <f>136+70+94+73</f>
        <v>373</v>
      </c>
      <c r="BW27" s="177">
        <f>35+41+40+46</f>
        <v>162</v>
      </c>
      <c r="BX27" s="177">
        <f>78+87+112+82</f>
        <v>359</v>
      </c>
      <c r="BY27" s="177">
        <f>14+19+20+31</f>
        <v>84</v>
      </c>
      <c r="BZ27" s="177">
        <f>44+45+55+47</f>
        <v>191</v>
      </c>
      <c r="CA27" s="177">
        <f>68+51+89+52</f>
        <v>260</v>
      </c>
      <c r="CB27" s="179">
        <f>60+60+93+73</f>
        <v>286</v>
      </c>
      <c r="CC27" s="177">
        <f>54+50+92+77</f>
        <v>273</v>
      </c>
      <c r="CD27" s="177">
        <f>19+25+29+29</f>
        <v>102</v>
      </c>
      <c r="CE27" s="177">
        <f>48+30+54+43</f>
        <v>175</v>
      </c>
      <c r="CF27" s="177">
        <v>34</v>
      </c>
      <c r="CG27" s="177">
        <f>149+135+195+143</f>
        <v>622</v>
      </c>
      <c r="CH27" s="177">
        <f>139+121+212+191</f>
        <v>663</v>
      </c>
      <c r="CI27" s="177">
        <f>122+70+103+76</f>
        <v>371</v>
      </c>
      <c r="CJ27" s="177">
        <f>194+207+363+298</f>
        <v>1062</v>
      </c>
      <c r="CK27" s="178">
        <f>86+75+105+84</f>
        <v>350</v>
      </c>
      <c r="CL27" s="180">
        <f>2575+2224+3494+2794</f>
        <v>11087</v>
      </c>
    </row>
    <row r="28" spans="1:90">
      <c r="A28" s="93">
        <f>ROWS($A$3:A26)</f>
        <v>24</v>
      </c>
      <c r="B28" s="59" t="s">
        <v>5</v>
      </c>
      <c r="C28" s="241"/>
      <c r="D28" s="332" t="s">
        <v>14</v>
      </c>
      <c r="E28" s="316">
        <v>40695</v>
      </c>
      <c r="F28" s="156">
        <f>1563+752</f>
        <v>2315</v>
      </c>
      <c r="G28" s="177">
        <v>820</v>
      </c>
      <c r="H28" s="177">
        <v>1274</v>
      </c>
      <c r="I28" s="178">
        <v>2023</v>
      </c>
      <c r="J28" s="181"/>
      <c r="K28" s="156">
        <f t="shared" ref="K28:K33" si="46">BF28</f>
        <v>315</v>
      </c>
      <c r="L28" s="177">
        <f t="shared" ref="L28:L33" si="47">AY28</f>
        <v>104</v>
      </c>
      <c r="M28" s="177">
        <f t="shared" ref="M28:M33" si="48">BD28</f>
        <v>262</v>
      </c>
      <c r="N28" s="177">
        <f t="shared" ref="N28:N33" si="49">AW28</f>
        <v>167</v>
      </c>
      <c r="O28" s="177">
        <f t="shared" ref="O28:O33" si="50">BE28</f>
        <v>148</v>
      </c>
      <c r="P28" s="177">
        <f>'2007'!AZ28+'2007'!BA28</f>
        <v>268</v>
      </c>
      <c r="Q28" s="177">
        <f>'2007'!AU28</f>
        <v>111</v>
      </c>
      <c r="R28" s="177">
        <f t="shared" si="37"/>
        <v>180</v>
      </c>
      <c r="S28" s="177">
        <f t="shared" ref="S28:S33" si="51">AV28</f>
        <v>101</v>
      </c>
      <c r="T28" s="177">
        <f t="shared" ref="T28:U33" si="52">BB28</f>
        <v>204</v>
      </c>
      <c r="U28" s="179">
        <f t="shared" si="52"/>
        <v>455</v>
      </c>
      <c r="V28" s="177">
        <f t="shared" si="39"/>
        <v>43</v>
      </c>
      <c r="W28" s="177">
        <f t="shared" ref="W28:W33" si="53">BR28</f>
        <v>74</v>
      </c>
      <c r="X28" s="177">
        <f t="shared" si="40"/>
        <v>142</v>
      </c>
      <c r="Y28" s="177">
        <f t="shared" si="41"/>
        <v>218</v>
      </c>
      <c r="Z28" s="177">
        <f t="shared" ref="Z28:Z33" si="54">BM28</f>
        <v>175</v>
      </c>
      <c r="AA28" s="177">
        <f t="shared" si="42"/>
        <v>92</v>
      </c>
      <c r="AB28" s="179">
        <f t="shared" ref="AB28:AB33" si="55">BP28</f>
        <v>76</v>
      </c>
      <c r="AC28" s="177">
        <f t="shared" ref="AC28:AC33" si="56">BX28</f>
        <v>178</v>
      </c>
      <c r="AD28" s="177">
        <f t="shared" ref="AD28:AD33" si="57">BU28</f>
        <v>59</v>
      </c>
      <c r="AE28" s="177">
        <f t="shared" si="43"/>
        <v>197</v>
      </c>
      <c r="AF28" s="177">
        <f t="shared" ref="AF28:AF33" si="58">CA28</f>
        <v>94</v>
      </c>
      <c r="AG28" s="177">
        <f t="shared" ref="AG28:AG33" si="59">BV28</f>
        <v>184</v>
      </c>
      <c r="AH28" s="177">
        <f t="shared" ref="AH28:AH33" si="60">BZ28</f>
        <v>161</v>
      </c>
      <c r="AI28" s="177">
        <f t="shared" ref="AI28:AI33" si="61">BW28</f>
        <v>140</v>
      </c>
      <c r="AJ28" s="177">
        <f t="shared" ref="AJ28:AJ33" si="62">BY28</f>
        <v>84</v>
      </c>
      <c r="AK28" s="179">
        <f t="shared" ref="AK28:AK33" si="63">CB28</f>
        <v>177</v>
      </c>
      <c r="AL28" s="177">
        <f t="shared" ref="AL28:AL33" si="64">CE28</f>
        <v>112</v>
      </c>
      <c r="AM28" s="177">
        <f t="shared" ref="AM28:AM33" si="65">CH28</f>
        <v>430</v>
      </c>
      <c r="AN28" s="177">
        <f t="shared" ref="AN28:AN33" si="66">CJ28</f>
        <v>447</v>
      </c>
      <c r="AO28" s="177">
        <f t="shared" ref="AO28:AP33" si="67">CC28</f>
        <v>172</v>
      </c>
      <c r="AP28" s="177">
        <f t="shared" si="67"/>
        <v>45</v>
      </c>
      <c r="AQ28" s="177">
        <f t="shared" ref="AQ28:AQ33" si="68">CK28</f>
        <v>226</v>
      </c>
      <c r="AR28" s="177">
        <f t="shared" ref="AR28:AR33" si="69">CI28</f>
        <v>127</v>
      </c>
      <c r="AS28" s="184">
        <f t="shared" si="45"/>
        <v>464</v>
      </c>
      <c r="AT28" s="181">
        <v>9</v>
      </c>
      <c r="AU28" s="181">
        <f>72+39</f>
        <v>111</v>
      </c>
      <c r="AV28" s="181">
        <v>101</v>
      </c>
      <c r="AW28" s="181">
        <v>167</v>
      </c>
      <c r="AX28" s="181">
        <v>171</v>
      </c>
      <c r="AY28" s="177">
        <v>104</v>
      </c>
      <c r="AZ28" s="177">
        <v>15</v>
      </c>
      <c r="BA28" s="177">
        <v>253</v>
      </c>
      <c r="BB28" s="177">
        <v>204</v>
      </c>
      <c r="BC28" s="177">
        <v>455</v>
      </c>
      <c r="BD28" s="177">
        <v>262</v>
      </c>
      <c r="BE28" s="177">
        <f>148</f>
        <v>148</v>
      </c>
      <c r="BF28" s="179">
        <v>315</v>
      </c>
      <c r="BG28" s="177">
        <v>5</v>
      </c>
      <c r="BH28" s="177">
        <v>7</v>
      </c>
      <c r="BI28" s="177">
        <v>135</v>
      </c>
      <c r="BJ28" s="177">
        <v>38</v>
      </c>
      <c r="BK28" s="177">
        <v>8</v>
      </c>
      <c r="BL28" s="177">
        <v>16</v>
      </c>
      <c r="BM28" s="177">
        <v>175</v>
      </c>
      <c r="BN28" s="177">
        <v>194</v>
      </c>
      <c r="BO28" s="177">
        <v>4</v>
      </c>
      <c r="BP28" s="177">
        <v>76</v>
      </c>
      <c r="BQ28" s="177">
        <v>88</v>
      </c>
      <c r="BR28" s="179">
        <v>74</v>
      </c>
      <c r="BS28" s="177">
        <v>11</v>
      </c>
      <c r="BT28" s="177">
        <v>186</v>
      </c>
      <c r="BU28" s="177">
        <v>59</v>
      </c>
      <c r="BV28" s="177">
        <v>184</v>
      </c>
      <c r="BW28" s="177">
        <v>140</v>
      </c>
      <c r="BX28" s="177">
        <v>178</v>
      </c>
      <c r="BY28" s="177">
        <v>84</v>
      </c>
      <c r="BZ28" s="177">
        <v>161</v>
      </c>
      <c r="CA28" s="177">
        <v>94</v>
      </c>
      <c r="CB28" s="179">
        <v>177</v>
      </c>
      <c r="CC28" s="177">
        <v>172</v>
      </c>
      <c r="CD28" s="177">
        <v>45</v>
      </c>
      <c r="CE28" s="177">
        <v>112</v>
      </c>
      <c r="CF28" s="177">
        <v>33</v>
      </c>
      <c r="CG28" s="177">
        <v>431</v>
      </c>
      <c r="CH28" s="177">
        <v>430</v>
      </c>
      <c r="CI28" s="177">
        <v>127</v>
      </c>
      <c r="CJ28" s="177">
        <v>447</v>
      </c>
      <c r="CK28" s="178">
        <v>226</v>
      </c>
      <c r="CL28" s="180">
        <v>6432</v>
      </c>
    </row>
    <row r="29" spans="1:90">
      <c r="A29" s="93">
        <f>ROWS($A$3:A27)</f>
        <v>25</v>
      </c>
      <c r="B29" s="59" t="s">
        <v>6</v>
      </c>
      <c r="C29" s="241"/>
      <c r="D29" s="332" t="s">
        <v>14</v>
      </c>
      <c r="E29" s="316">
        <v>40695</v>
      </c>
      <c r="F29" s="156">
        <v>754</v>
      </c>
      <c r="G29" s="177">
        <v>523</v>
      </c>
      <c r="H29" s="177">
        <v>537</v>
      </c>
      <c r="I29" s="178">
        <v>698</v>
      </c>
      <c r="J29" s="181"/>
      <c r="K29" s="156">
        <f t="shared" si="46"/>
        <v>114</v>
      </c>
      <c r="L29" s="177">
        <f t="shared" si="47"/>
        <v>30</v>
      </c>
      <c r="M29" s="177">
        <f t="shared" si="48"/>
        <v>164</v>
      </c>
      <c r="N29" s="177">
        <f t="shared" si="49"/>
        <v>35</v>
      </c>
      <c r="O29" s="177">
        <f t="shared" si="50"/>
        <v>52</v>
      </c>
      <c r="P29" s="177">
        <f>'2007'!AZ29+'2007'!BA29</f>
        <v>98</v>
      </c>
      <c r="Q29" s="177">
        <f>'2007'!AU29</f>
        <v>45</v>
      </c>
      <c r="R29" s="177">
        <f t="shared" si="37"/>
        <v>27</v>
      </c>
      <c r="S29" s="177">
        <f t="shared" si="51"/>
        <v>28</v>
      </c>
      <c r="T29" s="177">
        <f t="shared" si="52"/>
        <v>76</v>
      </c>
      <c r="U29" s="179">
        <f t="shared" si="52"/>
        <v>85</v>
      </c>
      <c r="V29" s="177">
        <f t="shared" si="39"/>
        <v>47</v>
      </c>
      <c r="W29" s="177">
        <f t="shared" si="53"/>
        <v>38</v>
      </c>
      <c r="X29" s="177">
        <f t="shared" si="40"/>
        <v>134</v>
      </c>
      <c r="Y29" s="177">
        <f t="shared" si="41"/>
        <v>82</v>
      </c>
      <c r="Z29" s="177">
        <f t="shared" si="54"/>
        <v>133</v>
      </c>
      <c r="AA29" s="177">
        <f t="shared" si="42"/>
        <v>53</v>
      </c>
      <c r="AB29" s="179">
        <f t="shared" si="55"/>
        <v>36</v>
      </c>
      <c r="AC29" s="177">
        <f t="shared" si="56"/>
        <v>64</v>
      </c>
      <c r="AD29" s="177">
        <f t="shared" si="57"/>
        <v>26</v>
      </c>
      <c r="AE29" s="177">
        <f t="shared" si="43"/>
        <v>45</v>
      </c>
      <c r="AF29" s="177">
        <f t="shared" si="58"/>
        <v>15</v>
      </c>
      <c r="AG29" s="177">
        <f t="shared" si="59"/>
        <v>84</v>
      </c>
      <c r="AH29" s="177">
        <f t="shared" si="60"/>
        <v>88</v>
      </c>
      <c r="AI29" s="177">
        <f t="shared" si="61"/>
        <v>73</v>
      </c>
      <c r="AJ29" s="177">
        <f t="shared" si="62"/>
        <v>81</v>
      </c>
      <c r="AK29" s="179">
        <f t="shared" si="63"/>
        <v>61</v>
      </c>
      <c r="AL29" s="177">
        <f t="shared" si="64"/>
        <v>95</v>
      </c>
      <c r="AM29" s="177">
        <f t="shared" si="65"/>
        <v>119</v>
      </c>
      <c r="AN29" s="177">
        <f t="shared" si="66"/>
        <v>56</v>
      </c>
      <c r="AO29" s="177">
        <f t="shared" si="67"/>
        <v>94</v>
      </c>
      <c r="AP29" s="177">
        <f t="shared" si="67"/>
        <v>62</v>
      </c>
      <c r="AQ29" s="177">
        <f t="shared" si="68"/>
        <v>133</v>
      </c>
      <c r="AR29" s="177">
        <f t="shared" si="69"/>
        <v>22</v>
      </c>
      <c r="AS29" s="184">
        <f t="shared" si="45"/>
        <v>117</v>
      </c>
      <c r="AT29" s="181">
        <v>2</v>
      </c>
      <c r="AU29" s="181">
        <v>45</v>
      </c>
      <c r="AV29" s="181">
        <v>28</v>
      </c>
      <c r="AW29" s="181">
        <v>35</v>
      </c>
      <c r="AX29" s="181">
        <v>25</v>
      </c>
      <c r="AY29" s="177">
        <v>30</v>
      </c>
      <c r="AZ29" s="177">
        <v>5</v>
      </c>
      <c r="BA29" s="177">
        <v>93</v>
      </c>
      <c r="BB29" s="177">
        <v>76</v>
      </c>
      <c r="BC29" s="177">
        <v>85</v>
      </c>
      <c r="BD29" s="177">
        <v>164</v>
      </c>
      <c r="BE29" s="177">
        <v>52</v>
      </c>
      <c r="BF29" s="179">
        <v>114</v>
      </c>
      <c r="BG29" s="177">
        <v>3</v>
      </c>
      <c r="BH29" s="177">
        <v>6</v>
      </c>
      <c r="BI29" s="177">
        <v>128</v>
      </c>
      <c r="BJ29" s="177">
        <v>44</v>
      </c>
      <c r="BK29" s="177">
        <v>1</v>
      </c>
      <c r="BL29" s="177">
        <v>5</v>
      </c>
      <c r="BM29" s="177">
        <v>133</v>
      </c>
      <c r="BN29" s="177">
        <v>76</v>
      </c>
      <c r="BO29" s="177">
        <v>4</v>
      </c>
      <c r="BP29" s="177">
        <v>36</v>
      </c>
      <c r="BQ29" s="177">
        <v>49</v>
      </c>
      <c r="BR29" s="179">
        <v>38</v>
      </c>
      <c r="BS29" s="177">
        <v>5</v>
      </c>
      <c r="BT29" s="177">
        <v>40</v>
      </c>
      <c r="BU29" s="177">
        <v>26</v>
      </c>
      <c r="BV29" s="177">
        <v>84</v>
      </c>
      <c r="BW29" s="177">
        <v>73</v>
      </c>
      <c r="BX29" s="177">
        <v>64</v>
      </c>
      <c r="BY29" s="177">
        <v>81</v>
      </c>
      <c r="BZ29" s="177">
        <v>88</v>
      </c>
      <c r="CA29" s="177">
        <v>15</v>
      </c>
      <c r="CB29" s="179">
        <v>61</v>
      </c>
      <c r="CC29" s="177">
        <v>94</v>
      </c>
      <c r="CD29" s="177">
        <v>62</v>
      </c>
      <c r="CE29" s="177">
        <v>95</v>
      </c>
      <c r="CF29" s="177">
        <v>6</v>
      </c>
      <c r="CG29" s="177">
        <v>111</v>
      </c>
      <c r="CH29" s="177">
        <v>119</v>
      </c>
      <c r="CI29" s="177">
        <v>22</v>
      </c>
      <c r="CJ29" s="177">
        <v>56</v>
      </c>
      <c r="CK29" s="178">
        <v>133</v>
      </c>
      <c r="CL29" s="180">
        <v>2512</v>
      </c>
    </row>
    <row r="30" spans="1:90">
      <c r="A30" s="93">
        <f>ROWS($A$3:A28)</f>
        <v>26</v>
      </c>
      <c r="B30" s="60" t="s">
        <v>276</v>
      </c>
      <c r="C30" s="323"/>
      <c r="D30" s="332" t="s">
        <v>1</v>
      </c>
      <c r="E30" s="333"/>
      <c r="F30" s="207">
        <f>F35/F23</f>
        <v>25.940701696590349</v>
      </c>
      <c r="G30" s="208">
        <f>G35/G23</f>
        <v>30.661200541597712</v>
      </c>
      <c r="H30" s="208">
        <f>H35/H23</f>
        <v>18.05483230361871</v>
      </c>
      <c r="I30" s="209">
        <f>I35/I23</f>
        <v>30.732095868003697</v>
      </c>
      <c r="J30" s="213"/>
      <c r="K30" s="218">
        <f t="shared" si="46"/>
        <v>28.840750436300173</v>
      </c>
      <c r="L30" s="219">
        <f t="shared" si="47"/>
        <v>15.357728337236534</v>
      </c>
      <c r="M30" s="219">
        <f t="shared" si="48"/>
        <v>36.372899159663866</v>
      </c>
      <c r="N30" s="219">
        <f t="shared" si="49"/>
        <v>30.497320471597</v>
      </c>
      <c r="O30" s="219">
        <f t="shared" si="50"/>
        <v>39.758672699849171</v>
      </c>
      <c r="P30" s="208">
        <f>P35/P23</f>
        <v>20.014591109602986</v>
      </c>
      <c r="Q30" s="219">
        <f>'2007'!AU30</f>
        <v>28.835249042145595</v>
      </c>
      <c r="R30" s="208">
        <f>R35/R23</f>
        <v>17.007755695588948</v>
      </c>
      <c r="S30" s="219">
        <f t="shared" si="51"/>
        <v>23.418331374853114</v>
      </c>
      <c r="T30" s="219">
        <f t="shared" si="52"/>
        <v>26.487373737373737</v>
      </c>
      <c r="U30" s="220">
        <f t="shared" si="52"/>
        <v>31.196378269617707</v>
      </c>
      <c r="V30" s="208">
        <f>V35/V23</f>
        <v>16.553784860557769</v>
      </c>
      <c r="W30" s="219">
        <f t="shared" si="53"/>
        <v>26.178284182305632</v>
      </c>
      <c r="X30" s="208">
        <f>X35/X23</f>
        <v>36.625800548947851</v>
      </c>
      <c r="Y30" s="208">
        <f>Y35/Y23</f>
        <v>31.397959183673468</v>
      </c>
      <c r="Z30" s="219">
        <f t="shared" si="54"/>
        <v>40.707211120764555</v>
      </c>
      <c r="AA30" s="208">
        <f>AA35/AA23</f>
        <v>33.976391231028671</v>
      </c>
      <c r="AB30" s="220">
        <f t="shared" si="55"/>
        <v>25.5</v>
      </c>
      <c r="AC30" s="219">
        <f t="shared" si="56"/>
        <v>29.788679245283017</v>
      </c>
      <c r="AD30" s="219">
        <f t="shared" si="57"/>
        <v>11.494235588972431</v>
      </c>
      <c r="AE30" s="208">
        <f>AE35/AE23</f>
        <v>13.066144047035767</v>
      </c>
      <c r="AF30" s="219">
        <f t="shared" si="58"/>
        <v>17.436907366885485</v>
      </c>
      <c r="AG30" s="219">
        <f t="shared" si="59"/>
        <v>11.835950080515298</v>
      </c>
      <c r="AH30" s="219">
        <f t="shared" si="60"/>
        <v>30.728406055209263</v>
      </c>
      <c r="AI30" s="219">
        <f t="shared" si="61"/>
        <v>28.943714821763603</v>
      </c>
      <c r="AJ30" s="219">
        <f t="shared" si="62"/>
        <v>42.901234567901234</v>
      </c>
      <c r="AK30" s="220">
        <f t="shared" si="63"/>
        <v>24.014101778050275</v>
      </c>
      <c r="AL30" s="219">
        <f t="shared" si="64"/>
        <v>36.914502164502167</v>
      </c>
      <c r="AM30" s="219">
        <f t="shared" si="65"/>
        <v>35.15269596737653</v>
      </c>
      <c r="AN30" s="219">
        <f t="shared" si="66"/>
        <v>28.22636655948553</v>
      </c>
      <c r="AO30" s="219">
        <f t="shared" si="67"/>
        <v>32.446107784431135</v>
      </c>
      <c r="AP30" s="219">
        <f t="shared" si="67"/>
        <v>36.388278388278387</v>
      </c>
      <c r="AQ30" s="219">
        <f t="shared" si="68"/>
        <v>34.858496525584336</v>
      </c>
      <c r="AR30" s="219">
        <f t="shared" si="69"/>
        <v>17.063627254509019</v>
      </c>
      <c r="AS30" s="209">
        <f t="shared" ref="AS30:CL30" si="70">AS35/AS23</f>
        <v>33.994489190334889</v>
      </c>
      <c r="AT30" s="208">
        <f t="shared" si="70"/>
        <v>9.8910505836575879</v>
      </c>
      <c r="AU30" s="208">
        <f t="shared" si="70"/>
        <v>28.835249042145595</v>
      </c>
      <c r="AV30" s="208">
        <f t="shared" si="70"/>
        <v>23.418331374853114</v>
      </c>
      <c r="AW30" s="208">
        <f t="shared" si="70"/>
        <v>30.497320471597</v>
      </c>
      <c r="AX30" s="208">
        <f t="shared" si="70"/>
        <v>18.02048726467331</v>
      </c>
      <c r="AY30" s="208">
        <f t="shared" si="70"/>
        <v>15.357728337236534</v>
      </c>
      <c r="AZ30" s="208">
        <f t="shared" si="70"/>
        <v>19.356481481481481</v>
      </c>
      <c r="BA30" s="208">
        <f t="shared" si="70"/>
        <v>20.066642255584036</v>
      </c>
      <c r="BB30" s="208">
        <f t="shared" si="70"/>
        <v>26.487373737373737</v>
      </c>
      <c r="BC30" s="208">
        <f t="shared" si="70"/>
        <v>31.196378269617707</v>
      </c>
      <c r="BD30" s="208">
        <f t="shared" si="70"/>
        <v>36.372899159663866</v>
      </c>
      <c r="BE30" s="208">
        <f t="shared" si="70"/>
        <v>39.758672699849171</v>
      </c>
      <c r="BF30" s="216">
        <f t="shared" si="70"/>
        <v>28.840750436300173</v>
      </c>
      <c r="BG30" s="208">
        <f t="shared" si="70"/>
        <v>9.6408839779005522</v>
      </c>
      <c r="BH30" s="208">
        <f t="shared" si="70"/>
        <v>29.943181818181817</v>
      </c>
      <c r="BI30" s="208">
        <f t="shared" si="70"/>
        <v>37.210945273631843</v>
      </c>
      <c r="BJ30" s="208">
        <f t="shared" si="70"/>
        <v>18.074119076549209</v>
      </c>
      <c r="BK30" s="208">
        <f t="shared" si="70"/>
        <v>17.673076923076923</v>
      </c>
      <c r="BL30" s="208">
        <f t="shared" si="70"/>
        <v>34.450000000000003</v>
      </c>
      <c r="BM30" s="208">
        <f t="shared" si="70"/>
        <v>40.707211120764555</v>
      </c>
      <c r="BN30" s="208">
        <f t="shared" si="70"/>
        <v>32.393939393939391</v>
      </c>
      <c r="BO30" s="208">
        <f t="shared" si="70"/>
        <v>26.783783783783782</v>
      </c>
      <c r="BP30" s="208">
        <f t="shared" si="70"/>
        <v>25.5</v>
      </c>
      <c r="BQ30" s="208">
        <f t="shared" si="70"/>
        <v>34.455035971223019</v>
      </c>
      <c r="BR30" s="216">
        <f t="shared" si="70"/>
        <v>26.178284182305632</v>
      </c>
      <c r="BS30" s="208">
        <f t="shared" si="70"/>
        <v>13.158671586715867</v>
      </c>
      <c r="BT30" s="208">
        <f t="shared" si="70"/>
        <v>13.059564418787719</v>
      </c>
      <c r="BU30" s="208">
        <f t="shared" si="70"/>
        <v>11.494235588972431</v>
      </c>
      <c r="BV30" s="208">
        <f t="shared" si="70"/>
        <v>11.835950080515298</v>
      </c>
      <c r="BW30" s="208">
        <f t="shared" si="70"/>
        <v>28.943714821763603</v>
      </c>
      <c r="BX30" s="208">
        <f t="shared" si="70"/>
        <v>29.788679245283017</v>
      </c>
      <c r="BY30" s="208">
        <f t="shared" si="70"/>
        <v>42.901234567901234</v>
      </c>
      <c r="BZ30" s="208">
        <f t="shared" si="70"/>
        <v>30.728406055209263</v>
      </c>
      <c r="CA30" s="208">
        <f t="shared" si="70"/>
        <v>17.436907366885485</v>
      </c>
      <c r="CB30" s="216">
        <f t="shared" si="70"/>
        <v>24.014101778050275</v>
      </c>
      <c r="CC30" s="208">
        <f t="shared" si="70"/>
        <v>32.446107784431135</v>
      </c>
      <c r="CD30" s="208">
        <f t="shared" si="70"/>
        <v>36.388278388278387</v>
      </c>
      <c r="CE30" s="208">
        <f t="shared" si="70"/>
        <v>36.914502164502167</v>
      </c>
      <c r="CF30" s="208">
        <f t="shared" si="70"/>
        <v>32.739726027397261</v>
      </c>
      <c r="CG30" s="208">
        <f t="shared" si="70"/>
        <v>34.077270673294173</v>
      </c>
      <c r="CH30" s="208">
        <f t="shared" si="70"/>
        <v>35.15269596737653</v>
      </c>
      <c r="CI30" s="208">
        <f t="shared" si="70"/>
        <v>17.063627254509019</v>
      </c>
      <c r="CJ30" s="208">
        <f t="shared" si="70"/>
        <v>28.22636655948553</v>
      </c>
      <c r="CK30" s="209">
        <f t="shared" si="70"/>
        <v>34.858496525584336</v>
      </c>
      <c r="CL30" s="217">
        <f t="shared" si="70"/>
        <v>25.16576977685849</v>
      </c>
    </row>
    <row r="31" spans="1:90">
      <c r="A31" s="93">
        <f>ROWS($A$3:A29)</f>
        <v>27</v>
      </c>
      <c r="B31" s="60" t="str">
        <f>"Entwicklung Betriebe ab 5 ha LF von 2001 / "&amp;C23</f>
        <v>Entwicklung Betriebe ab 5 ha LF von 2001 / 2007</v>
      </c>
      <c r="C31" s="323"/>
      <c r="D31" s="332" t="s">
        <v>4</v>
      </c>
      <c r="E31" s="333"/>
      <c r="F31" s="182">
        <f>(F23-F24)/('2001'!F23-'2001'!F24)%-100</f>
        <v>-16.503800217155273</v>
      </c>
      <c r="G31" s="183">
        <f>(G23-G24)/('2001'!G23-'2001'!G24)%-100</f>
        <v>-14.628391663389692</v>
      </c>
      <c r="H31" s="183">
        <f>(H23-H24)/('2001'!H23-'2001'!H24)%-100</f>
        <v>-15.418786850819799</v>
      </c>
      <c r="I31" s="184">
        <f>(I23-I24)/('2001'!I23-'2001'!I24)%-100</f>
        <v>-17.614464858559344</v>
      </c>
      <c r="J31" s="181"/>
      <c r="K31" s="156">
        <f t="shared" si="46"/>
        <v>-17.603160667251984</v>
      </c>
      <c r="L31" s="177">
        <f t="shared" si="47"/>
        <v>-14.36837029893924</v>
      </c>
      <c r="M31" s="177">
        <f t="shared" si="48"/>
        <v>-19.881145326850358</v>
      </c>
      <c r="N31" s="177">
        <f t="shared" si="49"/>
        <v>-14.871194379391099</v>
      </c>
      <c r="O31" s="177">
        <f t="shared" si="50"/>
        <v>-12.406576980568019</v>
      </c>
      <c r="P31" s="183">
        <f>100-(P23%/((AZ23%)/(100-AZ31)+(BA23%)/(100-BA31)))</f>
        <v>-14.73228413599405</v>
      </c>
      <c r="Q31" s="186">
        <f>'2007'!AU31</f>
        <v>-19.11357340720221</v>
      </c>
      <c r="R31" s="183">
        <f>100-(R23%/((AT23%)/(100-AT31)+(AX23%)/(100-AX31)))</f>
        <v>-11.348012517026632</v>
      </c>
      <c r="S31" s="186">
        <f t="shared" si="51"/>
        <v>-16.388467374810318</v>
      </c>
      <c r="T31" s="186">
        <f t="shared" si="52"/>
        <v>-18.392581143740344</v>
      </c>
      <c r="U31" s="187">
        <f t="shared" si="52"/>
        <v>-17.130365659777425</v>
      </c>
      <c r="V31" s="183">
        <f>100-(V23%/((BG23%)/(100-BG31)+(BJ23%)/(100-BJ31)))</f>
        <v>-6.9569774860996887</v>
      </c>
      <c r="W31" s="186">
        <f t="shared" si="53"/>
        <v>-16.930379746835442</v>
      </c>
      <c r="X31" s="183">
        <f>100-(X23%/((BH23%)/(100-BH31)+(BI23%)/(100-BI31)))</f>
        <v>-12.625136266897684</v>
      </c>
      <c r="Y31" s="183">
        <f>100-(Y23%/((BK23%)/(100-BK31)+(BL23%)/(100-BL31)+(BN23%)/(100-BN31)))</f>
        <v>-15.221056483334152</v>
      </c>
      <c r="Z31" s="186">
        <f t="shared" si="54"/>
        <v>-15.727272727272734</v>
      </c>
      <c r="AA31" s="183">
        <f>100-(AA23%/((BO23%)/(100-BO31)+(BQ23%)/(100-BQ31)))</f>
        <v>-12.320124420285353</v>
      </c>
      <c r="AB31" s="187">
        <f t="shared" si="55"/>
        <v>-18.641114982578401</v>
      </c>
      <c r="AC31" s="186">
        <f t="shared" si="56"/>
        <v>-17.163009404388717</v>
      </c>
      <c r="AD31" s="186">
        <f t="shared" si="57"/>
        <v>-12.121212121212125</v>
      </c>
      <c r="AE31" s="183">
        <f>100-(AE23%/((BS23%)/(100-BS31)+(BT23%)/(100-BT31)))</f>
        <v>-13.098800393925458</v>
      </c>
      <c r="AF31" s="186">
        <f t="shared" si="58"/>
        <v>-15.843429636533088</v>
      </c>
      <c r="AG31" s="186">
        <f t="shared" si="59"/>
        <v>-13.049853372434015</v>
      </c>
      <c r="AH31" s="186">
        <f t="shared" si="60"/>
        <v>-17.083786724700758</v>
      </c>
      <c r="AI31" s="186">
        <f t="shared" si="61"/>
        <v>-17.694641051567245</v>
      </c>
      <c r="AJ31" s="186">
        <f t="shared" si="62"/>
        <v>-20</v>
      </c>
      <c r="AK31" s="187">
        <f t="shared" si="63"/>
        <v>-19.166666666666671</v>
      </c>
      <c r="AL31" s="186">
        <f t="shared" si="64"/>
        <v>-18.142548596112306</v>
      </c>
      <c r="AM31" s="186">
        <f t="shared" si="65"/>
        <v>-18.154246100519927</v>
      </c>
      <c r="AN31" s="186">
        <f t="shared" si="66"/>
        <v>-15.493421052631575</v>
      </c>
      <c r="AO31" s="186">
        <f t="shared" si="67"/>
        <v>-18.827160493827165</v>
      </c>
      <c r="AP31" s="186">
        <f t="shared" si="67"/>
        <v>-19.114688128772627</v>
      </c>
      <c r="AQ31" s="186">
        <f t="shared" si="68"/>
        <v>-19.531731361675909</v>
      </c>
      <c r="AR31" s="186">
        <f t="shared" si="69"/>
        <v>-14.391392064559511</v>
      </c>
      <c r="AS31" s="184">
        <f>100-(AS23%/((CF23%)/(100-CF31)+(CG23%)/(100-CG31)))</f>
        <v>-19.222851443449017</v>
      </c>
      <c r="AT31" s="186">
        <f>(AT23-AT24)/('2001'!AT23-'2001'!AT24)%-100</f>
        <v>-3.0612244897959187</v>
      </c>
      <c r="AU31" s="181">
        <f>(AU23-AU24)/('2001'!AU23-'2001'!AU24)%-100</f>
        <v>-19.11357340720221</v>
      </c>
      <c r="AV31" s="181">
        <f>(AV23-AV24)/('2001'!AV23-'2001'!AV24)%-100</f>
        <v>-16.388467374810318</v>
      </c>
      <c r="AW31" s="181">
        <f>(AW23-AW24)/('2001'!AW23-'2001'!AW24)%-100</f>
        <v>-14.871194379391099</v>
      </c>
      <c r="AX31" s="181">
        <f>(AX23-AX24)/('2001'!AX23-'2001'!AX24)%-100</f>
        <v>-12.636815920398021</v>
      </c>
      <c r="AY31" s="177">
        <f>(AY23-AY24)/('2001'!AY23-'2001'!AY24)%-100</f>
        <v>-14.36837029893924</v>
      </c>
      <c r="AZ31" s="177">
        <f>(AZ23-AZ24)/('2001'!AZ23-'2001'!AZ24)%-100</f>
        <v>-16.666666666666671</v>
      </c>
      <c r="BA31" s="177">
        <f>(BA23-BA24)/('2001'!BA23-'2001'!BA24)%-100</f>
        <v>-14.582023884349468</v>
      </c>
      <c r="BB31" s="177">
        <f>(BB23-BB24)/('2001'!BB23-'2001'!BB24)%-100</f>
        <v>-18.392581143740344</v>
      </c>
      <c r="BC31" s="177">
        <f>(BC23-BC24)/('2001'!BC23-'2001'!BC24)%-100</f>
        <v>-17.130365659777425</v>
      </c>
      <c r="BD31" s="177">
        <f>(BD23-BD24)/('2001'!BD23-'2001'!BD24)%-100</f>
        <v>-19.881145326850358</v>
      </c>
      <c r="BE31" s="177">
        <f>(BE23-BE24)/('2001'!BE23-'2001'!BE24)%-100</f>
        <v>-12.406576980568019</v>
      </c>
      <c r="BF31" s="179">
        <f>(BF23-BF24)/('2001'!BF23-'2001'!BF24)%-100</f>
        <v>-17.603160667251984</v>
      </c>
      <c r="BG31" s="177">
        <f>(BG23-BG24)/('2001'!BG23-'2001'!BG24)%-100</f>
        <v>-13.333333333333329</v>
      </c>
      <c r="BH31" s="177">
        <f>(BH23-BH24)/('2001'!BH23-'2001'!BH24)%-100</f>
        <v>-12.698412698412696</v>
      </c>
      <c r="BI31" s="177">
        <f>(BI23-BI24)/('2001'!BI23-'2001'!BI24)%-100</f>
        <v>-12.618724559023065</v>
      </c>
      <c r="BJ31" s="177">
        <f>(BJ23-BJ24)/('2001'!BJ23-'2001'!BJ24)%-100</f>
        <v>-5.6497175141242906</v>
      </c>
      <c r="BK31" s="177">
        <f>(BK23-BK24)/('2001'!BK23-'2001'!BK24)%-100</f>
        <v>-7.3529411764705941</v>
      </c>
      <c r="BL31" s="177">
        <f>(BL23-BL24)/('2001'!BL23-'2001'!BL24)%-100</f>
        <v>-24.324324324324323</v>
      </c>
      <c r="BM31" s="177">
        <f>(BM23-BM24)/('2001'!BM23-'2001'!BM24)%-100</f>
        <v>-15.727272727272734</v>
      </c>
      <c r="BN31" s="177">
        <f>(BN23-BN24)/('2001'!BN23-'2001'!BN24)%-100</f>
        <v>-15.392456676860348</v>
      </c>
      <c r="BO31" s="177">
        <f>(BO23-BO24)/('2001'!BO23-'2001'!BO24)%-100</f>
        <v>-19.047619047619051</v>
      </c>
      <c r="BP31" s="177">
        <f>(BP23-BP24)/('2001'!BP23-'2001'!BP24)%-100</f>
        <v>-18.641114982578401</v>
      </c>
      <c r="BQ31" s="177">
        <f>(BQ23-BQ24)/('2001'!BQ23-'2001'!BQ24)%-100</f>
        <v>-11.899313501144164</v>
      </c>
      <c r="BR31" s="179">
        <f>(BR23-BR24)/('2001'!BR23-'2001'!BR24)%-100</f>
        <v>-16.930379746835442</v>
      </c>
      <c r="BS31" s="177">
        <f>(BS23-BS24)/('2001'!BS23-'2001'!BS24)%-100</f>
        <v>-15.254237288135585</v>
      </c>
      <c r="BT31" s="177">
        <f>(BT23-BT24)/('2001'!BT23-'2001'!BT24)%-100</f>
        <v>-12.948593598448113</v>
      </c>
      <c r="BU31" s="177">
        <f>(BU23-BU24)/('2001'!BU23-'2001'!BU24)%-100</f>
        <v>-12.121212121212125</v>
      </c>
      <c r="BV31" s="177">
        <f>(BV23-BV24)/('2001'!BV23-'2001'!BV24)%-100</f>
        <v>-13.049853372434015</v>
      </c>
      <c r="BW31" s="177">
        <f>(BW23-BW24)/('2001'!BW23-'2001'!BW24)%-100</f>
        <v>-17.694641051567245</v>
      </c>
      <c r="BX31" s="177">
        <f>(BX23-BX24)/('2001'!BX23-'2001'!BX24)%-100</f>
        <v>-17.163009404388717</v>
      </c>
      <c r="BY31" s="177">
        <f>(BY23-BY24)/('2001'!BY23-'2001'!BY24)%-100</f>
        <v>-20</v>
      </c>
      <c r="BZ31" s="177">
        <f>(BZ23-BZ24)/('2001'!BZ23-'2001'!BZ24)%-100</f>
        <v>-17.083786724700758</v>
      </c>
      <c r="CA31" s="177">
        <f>(CA23-CA24)/('2001'!CA23-'2001'!CA24)%-100</f>
        <v>-15.843429636533088</v>
      </c>
      <c r="CB31" s="179">
        <f>(CB23-CB24)/('2001'!CB23-'2001'!CB24)%-100</f>
        <v>-19.166666666666671</v>
      </c>
      <c r="CC31" s="177">
        <f>(CC23-CC24)/('2001'!CC23-'2001'!CC24)%-100</f>
        <v>-18.827160493827165</v>
      </c>
      <c r="CD31" s="177">
        <f>(CD23-CD24)/('2001'!CD23-'2001'!CD24)%-100</f>
        <v>-19.114688128772627</v>
      </c>
      <c r="CE31" s="177">
        <f>(CE23-CE24)/('2001'!CE23-'2001'!CE24)%-100</f>
        <v>-18.142548596112306</v>
      </c>
      <c r="CF31" s="177">
        <f>(CF23-CF24)/('2001'!CF23-'2001'!CF24)%-100</f>
        <v>-19.565217391304344</v>
      </c>
      <c r="CG31" s="177">
        <f>(CG23-CG24)/('2001'!CG23-'2001'!CG24)%-100</f>
        <v>-19.200333194502292</v>
      </c>
      <c r="CH31" s="177">
        <f>(CH23-CH24)/('2001'!CH23-'2001'!CH24)%-100</f>
        <v>-18.154246100519927</v>
      </c>
      <c r="CI31" s="177">
        <f>(CI23-CI24)/('2001'!CI23-'2001'!CI24)%-100</f>
        <v>-14.391392064559511</v>
      </c>
      <c r="CJ31" s="177">
        <f>(CJ23-CJ24)/('2001'!CJ23-'2001'!CJ24)%-100</f>
        <v>-15.493421052631575</v>
      </c>
      <c r="CK31" s="178">
        <f>(CK23-CK24)/('2001'!CK23-'2001'!CK24)%-100</f>
        <v>-19.531731361675909</v>
      </c>
      <c r="CL31" s="180">
        <f>(CL23-CL24)/('2001'!CL23-'2001'!CL24)%-100</f>
        <v>-16.335286047170015</v>
      </c>
    </row>
    <row r="32" spans="1:90">
      <c r="A32" s="93">
        <f>ROWS($A$3:A30)</f>
        <v>28</v>
      </c>
      <c r="B32" s="60" t="s">
        <v>181</v>
      </c>
      <c r="C32" s="323"/>
      <c r="D32" s="332" t="s">
        <v>4</v>
      </c>
      <c r="E32" s="333"/>
      <c r="F32" s="156">
        <v>37</v>
      </c>
      <c r="G32" s="177">
        <v>31</v>
      </c>
      <c r="H32" s="177">
        <v>28</v>
      </c>
      <c r="I32" s="178">
        <v>42</v>
      </c>
      <c r="J32" s="181"/>
      <c r="K32" s="156">
        <f t="shared" si="46"/>
        <v>35</v>
      </c>
      <c r="L32" s="177">
        <f t="shared" si="47"/>
        <v>35</v>
      </c>
      <c r="M32" s="177">
        <f t="shared" si="48"/>
        <v>34</v>
      </c>
      <c r="N32" s="177">
        <f t="shared" si="49"/>
        <v>42</v>
      </c>
      <c r="O32" s="177">
        <f t="shared" si="50"/>
        <v>41</v>
      </c>
      <c r="P32" s="183">
        <f>(AZ23*AZ32+BA23*BA32)/P23</f>
        <v>40.539192399049881</v>
      </c>
      <c r="Q32" s="186">
        <f>'2007'!AU32</f>
        <v>30</v>
      </c>
      <c r="R32" s="183">
        <f>(AT23*AT32+AX23*AX32)/R23</f>
        <v>40.989820649539503</v>
      </c>
      <c r="S32" s="186">
        <f t="shared" si="51"/>
        <v>35</v>
      </c>
      <c r="T32" s="186">
        <f t="shared" si="52"/>
        <v>38</v>
      </c>
      <c r="U32" s="187">
        <f t="shared" si="52"/>
        <v>47</v>
      </c>
      <c r="V32" s="183">
        <f>(BG23*BG32+BJ23*BJ32)/V23</f>
        <v>16.819721115537849</v>
      </c>
      <c r="W32" s="186">
        <f t="shared" si="53"/>
        <v>25</v>
      </c>
      <c r="X32" s="183">
        <f>(BH23*BH32+BI23*BI32)/X23</f>
        <v>33.724611161939613</v>
      </c>
      <c r="Y32" s="183">
        <f>(BK23*BK32+BL23*BL32+BN23*BN32)/Y23</f>
        <v>43.571428571428569</v>
      </c>
      <c r="Z32" s="186">
        <f t="shared" si="54"/>
        <v>33</v>
      </c>
      <c r="AA32" s="183">
        <f>(BO23*BO32+BQ23*BQ32)/AA23</f>
        <v>32.18549747048904</v>
      </c>
      <c r="AB32" s="187">
        <f t="shared" si="55"/>
        <v>26</v>
      </c>
      <c r="AC32" s="186">
        <f t="shared" si="56"/>
        <v>36</v>
      </c>
      <c r="AD32" s="186">
        <f t="shared" si="57"/>
        <v>28</v>
      </c>
      <c r="AE32" s="183">
        <f>(BS23*BS32+BT23*BT32)/AE23</f>
        <v>32.132778049975499</v>
      </c>
      <c r="AF32" s="186">
        <f t="shared" si="58"/>
        <v>29</v>
      </c>
      <c r="AG32" s="186">
        <f t="shared" si="59"/>
        <v>30</v>
      </c>
      <c r="AH32" s="186">
        <f t="shared" si="60"/>
        <v>45</v>
      </c>
      <c r="AI32" s="186">
        <f t="shared" si="61"/>
        <v>26</v>
      </c>
      <c r="AJ32" s="186">
        <f t="shared" si="62"/>
        <v>26</v>
      </c>
      <c r="AK32" s="187">
        <f t="shared" si="63"/>
        <v>27</v>
      </c>
      <c r="AL32" s="186">
        <f t="shared" si="64"/>
        <v>23</v>
      </c>
      <c r="AM32" s="186">
        <f t="shared" si="65"/>
        <v>49</v>
      </c>
      <c r="AN32" s="186">
        <f t="shared" si="66"/>
        <v>59</v>
      </c>
      <c r="AO32" s="186">
        <f t="shared" si="67"/>
        <v>28</v>
      </c>
      <c r="AP32" s="186">
        <f t="shared" si="67"/>
        <v>24</v>
      </c>
      <c r="AQ32" s="186">
        <f t="shared" si="68"/>
        <v>34</v>
      </c>
      <c r="AR32" s="186">
        <f t="shared" si="69"/>
        <v>48</v>
      </c>
      <c r="AS32" s="184">
        <f>(CF23*CF32+CG23*CG32)/AS23</f>
        <v>41.433234421364986</v>
      </c>
      <c r="AT32" s="186">
        <v>62</v>
      </c>
      <c r="AU32" s="181">
        <v>30</v>
      </c>
      <c r="AV32" s="181">
        <v>35</v>
      </c>
      <c r="AW32" s="181">
        <v>42</v>
      </c>
      <c r="AX32" s="181">
        <v>38</v>
      </c>
      <c r="AY32" s="177">
        <v>35</v>
      </c>
      <c r="AZ32" s="177">
        <v>60</v>
      </c>
      <c r="BA32" s="177">
        <v>39</v>
      </c>
      <c r="BB32" s="177">
        <v>38</v>
      </c>
      <c r="BC32" s="177">
        <v>47</v>
      </c>
      <c r="BD32" s="177">
        <v>34</v>
      </c>
      <c r="BE32" s="177">
        <v>41</v>
      </c>
      <c r="BF32" s="179">
        <v>35</v>
      </c>
      <c r="BG32" s="177">
        <v>16</v>
      </c>
      <c r="BH32" s="177">
        <v>42</v>
      </c>
      <c r="BI32" s="177">
        <v>33</v>
      </c>
      <c r="BJ32" s="177">
        <v>17</v>
      </c>
      <c r="BK32" s="177">
        <v>58</v>
      </c>
      <c r="BL32" s="177">
        <v>63</v>
      </c>
      <c r="BM32" s="177">
        <v>33</v>
      </c>
      <c r="BN32" s="177">
        <v>41</v>
      </c>
      <c r="BO32" s="177">
        <v>50</v>
      </c>
      <c r="BP32" s="177">
        <v>26</v>
      </c>
      <c r="BQ32" s="177">
        <v>31</v>
      </c>
      <c r="BR32" s="179">
        <v>25</v>
      </c>
      <c r="BS32" s="177">
        <v>34</v>
      </c>
      <c r="BT32" s="177">
        <v>32</v>
      </c>
      <c r="BU32" s="177">
        <v>28</v>
      </c>
      <c r="BV32" s="177">
        <v>30</v>
      </c>
      <c r="BW32" s="177">
        <v>26</v>
      </c>
      <c r="BX32" s="177">
        <v>36</v>
      </c>
      <c r="BY32" s="177">
        <v>26</v>
      </c>
      <c r="BZ32" s="177">
        <v>45</v>
      </c>
      <c r="CA32" s="177">
        <v>29</v>
      </c>
      <c r="CB32" s="179">
        <v>27</v>
      </c>
      <c r="CC32" s="177">
        <v>28</v>
      </c>
      <c r="CD32" s="177">
        <v>24</v>
      </c>
      <c r="CE32" s="177">
        <v>23</v>
      </c>
      <c r="CF32" s="177">
        <v>48</v>
      </c>
      <c r="CG32" s="177">
        <v>41</v>
      </c>
      <c r="CH32" s="177">
        <v>49</v>
      </c>
      <c r="CI32" s="177">
        <v>48</v>
      </c>
      <c r="CJ32" s="177">
        <v>59</v>
      </c>
      <c r="CK32" s="178">
        <v>34</v>
      </c>
      <c r="CL32" s="180">
        <v>36</v>
      </c>
    </row>
    <row r="33" spans="1:90">
      <c r="A33" s="93">
        <f>ROWS($A$3:A31)</f>
        <v>29</v>
      </c>
      <c r="B33" s="60" t="s">
        <v>72</v>
      </c>
      <c r="C33" s="323"/>
      <c r="D33" s="332" t="s">
        <v>4</v>
      </c>
      <c r="E33" s="333"/>
      <c r="F33" s="182">
        <f>100-F32</f>
        <v>63</v>
      </c>
      <c r="G33" s="183">
        <f>100-G32</f>
        <v>69</v>
      </c>
      <c r="H33" s="183">
        <f>100-H32</f>
        <v>72</v>
      </c>
      <c r="I33" s="184">
        <f>100-I32</f>
        <v>58</v>
      </c>
      <c r="J33" s="181"/>
      <c r="K33" s="185">
        <f t="shared" si="46"/>
        <v>65</v>
      </c>
      <c r="L33" s="186">
        <f t="shared" si="47"/>
        <v>65</v>
      </c>
      <c r="M33" s="186">
        <f t="shared" si="48"/>
        <v>66</v>
      </c>
      <c r="N33" s="186">
        <f t="shared" si="49"/>
        <v>58</v>
      </c>
      <c r="O33" s="186">
        <f t="shared" si="50"/>
        <v>59</v>
      </c>
      <c r="P33" s="183">
        <f>100-P32</f>
        <v>59.460807600950119</v>
      </c>
      <c r="Q33" s="186">
        <f>'2007'!AU33</f>
        <v>70</v>
      </c>
      <c r="R33" s="183">
        <f>100-R32</f>
        <v>59.010179350460497</v>
      </c>
      <c r="S33" s="186">
        <f t="shared" si="51"/>
        <v>65</v>
      </c>
      <c r="T33" s="186">
        <f t="shared" si="52"/>
        <v>62</v>
      </c>
      <c r="U33" s="187">
        <f t="shared" si="52"/>
        <v>53</v>
      </c>
      <c r="V33" s="183">
        <f>100-V32</f>
        <v>83.180278884462155</v>
      </c>
      <c r="W33" s="186">
        <f t="shared" si="53"/>
        <v>75</v>
      </c>
      <c r="X33" s="183">
        <f>100-X32</f>
        <v>66.275388838060394</v>
      </c>
      <c r="Y33" s="183">
        <f>100-Y32</f>
        <v>56.428571428571431</v>
      </c>
      <c r="Z33" s="186">
        <f t="shared" si="54"/>
        <v>67</v>
      </c>
      <c r="AA33" s="183">
        <f>100-AA32</f>
        <v>67.81450252951096</v>
      </c>
      <c r="AB33" s="187">
        <f t="shared" si="55"/>
        <v>74</v>
      </c>
      <c r="AC33" s="186">
        <f t="shared" si="56"/>
        <v>64</v>
      </c>
      <c r="AD33" s="186">
        <f t="shared" si="57"/>
        <v>72</v>
      </c>
      <c r="AE33" s="183">
        <f>100-AE32</f>
        <v>67.867221950024501</v>
      </c>
      <c r="AF33" s="186">
        <f t="shared" si="58"/>
        <v>71</v>
      </c>
      <c r="AG33" s="186">
        <f t="shared" si="59"/>
        <v>70</v>
      </c>
      <c r="AH33" s="186">
        <f t="shared" si="60"/>
        <v>55</v>
      </c>
      <c r="AI33" s="186">
        <f t="shared" si="61"/>
        <v>74</v>
      </c>
      <c r="AJ33" s="186">
        <f t="shared" si="62"/>
        <v>74</v>
      </c>
      <c r="AK33" s="187">
        <f t="shared" si="63"/>
        <v>73</v>
      </c>
      <c r="AL33" s="186">
        <f t="shared" si="64"/>
        <v>77</v>
      </c>
      <c r="AM33" s="186">
        <f t="shared" si="65"/>
        <v>51</v>
      </c>
      <c r="AN33" s="186">
        <f t="shared" si="66"/>
        <v>41</v>
      </c>
      <c r="AO33" s="186">
        <f t="shared" si="67"/>
        <v>72</v>
      </c>
      <c r="AP33" s="186">
        <f t="shared" si="67"/>
        <v>76</v>
      </c>
      <c r="AQ33" s="186">
        <f t="shared" si="68"/>
        <v>66</v>
      </c>
      <c r="AR33" s="186">
        <f t="shared" si="69"/>
        <v>52</v>
      </c>
      <c r="AS33" s="184">
        <f t="shared" ref="AS33:CL33" si="71">100-AS32</f>
        <v>58.566765578635014</v>
      </c>
      <c r="AT33" s="183">
        <f t="shared" si="71"/>
        <v>38</v>
      </c>
      <c r="AU33" s="183">
        <f t="shared" si="71"/>
        <v>70</v>
      </c>
      <c r="AV33" s="183">
        <f t="shared" si="71"/>
        <v>65</v>
      </c>
      <c r="AW33" s="183">
        <f t="shared" si="71"/>
        <v>58</v>
      </c>
      <c r="AX33" s="183">
        <f t="shared" si="71"/>
        <v>62</v>
      </c>
      <c r="AY33" s="183">
        <f t="shared" si="71"/>
        <v>65</v>
      </c>
      <c r="AZ33" s="183">
        <f t="shared" si="71"/>
        <v>40</v>
      </c>
      <c r="BA33" s="183">
        <f t="shared" si="71"/>
        <v>61</v>
      </c>
      <c r="BB33" s="183">
        <f t="shared" si="71"/>
        <v>62</v>
      </c>
      <c r="BC33" s="183">
        <f t="shared" si="71"/>
        <v>53</v>
      </c>
      <c r="BD33" s="183">
        <f t="shared" si="71"/>
        <v>66</v>
      </c>
      <c r="BE33" s="183">
        <f t="shared" si="71"/>
        <v>59</v>
      </c>
      <c r="BF33" s="188">
        <f t="shared" si="71"/>
        <v>65</v>
      </c>
      <c r="BG33" s="183">
        <f t="shared" si="71"/>
        <v>84</v>
      </c>
      <c r="BH33" s="183">
        <f t="shared" si="71"/>
        <v>58</v>
      </c>
      <c r="BI33" s="183">
        <f t="shared" si="71"/>
        <v>67</v>
      </c>
      <c r="BJ33" s="183">
        <f t="shared" si="71"/>
        <v>83</v>
      </c>
      <c r="BK33" s="183">
        <f t="shared" si="71"/>
        <v>42</v>
      </c>
      <c r="BL33" s="183">
        <f t="shared" si="71"/>
        <v>37</v>
      </c>
      <c r="BM33" s="183">
        <f t="shared" si="71"/>
        <v>67</v>
      </c>
      <c r="BN33" s="183">
        <f t="shared" si="71"/>
        <v>59</v>
      </c>
      <c r="BO33" s="183">
        <f t="shared" si="71"/>
        <v>50</v>
      </c>
      <c r="BP33" s="183">
        <f t="shared" si="71"/>
        <v>74</v>
      </c>
      <c r="BQ33" s="183">
        <f t="shared" si="71"/>
        <v>69</v>
      </c>
      <c r="BR33" s="188">
        <f t="shared" si="71"/>
        <v>75</v>
      </c>
      <c r="BS33" s="183">
        <f t="shared" si="71"/>
        <v>66</v>
      </c>
      <c r="BT33" s="183">
        <f t="shared" si="71"/>
        <v>68</v>
      </c>
      <c r="BU33" s="183">
        <f t="shared" si="71"/>
        <v>72</v>
      </c>
      <c r="BV33" s="183">
        <f t="shared" si="71"/>
        <v>70</v>
      </c>
      <c r="BW33" s="183">
        <f t="shared" si="71"/>
        <v>74</v>
      </c>
      <c r="BX33" s="183">
        <f t="shared" si="71"/>
        <v>64</v>
      </c>
      <c r="BY33" s="183">
        <f t="shared" si="71"/>
        <v>74</v>
      </c>
      <c r="BZ33" s="183">
        <f t="shared" si="71"/>
        <v>55</v>
      </c>
      <c r="CA33" s="183">
        <f t="shared" si="71"/>
        <v>71</v>
      </c>
      <c r="CB33" s="188">
        <f t="shared" si="71"/>
        <v>73</v>
      </c>
      <c r="CC33" s="183">
        <f t="shared" si="71"/>
        <v>72</v>
      </c>
      <c r="CD33" s="183">
        <f t="shared" si="71"/>
        <v>76</v>
      </c>
      <c r="CE33" s="183">
        <f t="shared" si="71"/>
        <v>77</v>
      </c>
      <c r="CF33" s="183">
        <f t="shared" si="71"/>
        <v>52</v>
      </c>
      <c r="CG33" s="183">
        <f t="shared" si="71"/>
        <v>59</v>
      </c>
      <c r="CH33" s="183">
        <f t="shared" si="71"/>
        <v>51</v>
      </c>
      <c r="CI33" s="183">
        <f t="shared" si="71"/>
        <v>52</v>
      </c>
      <c r="CJ33" s="183">
        <f t="shared" si="71"/>
        <v>41</v>
      </c>
      <c r="CK33" s="184">
        <f t="shared" si="71"/>
        <v>66</v>
      </c>
      <c r="CL33" s="189">
        <f t="shared" si="71"/>
        <v>64</v>
      </c>
    </row>
    <row r="34" spans="1:90">
      <c r="A34" s="93">
        <f>ROWS($A$3:A32)</f>
        <v>30</v>
      </c>
      <c r="B34" s="67" t="s">
        <v>73</v>
      </c>
      <c r="C34" s="241"/>
      <c r="D34" s="332"/>
      <c r="E34" s="333"/>
      <c r="F34" s="156"/>
      <c r="G34" s="177"/>
      <c r="H34" s="177"/>
      <c r="I34" s="178"/>
      <c r="J34" s="181"/>
      <c r="K34" s="156"/>
      <c r="L34" s="177"/>
      <c r="M34" s="177"/>
      <c r="N34" s="177"/>
      <c r="O34" s="177"/>
      <c r="P34" s="177"/>
      <c r="Q34" s="177"/>
      <c r="R34" s="177"/>
      <c r="S34" s="177"/>
      <c r="T34" s="177"/>
      <c r="U34" s="179"/>
      <c r="V34" s="177"/>
      <c r="W34" s="177"/>
      <c r="X34" s="177"/>
      <c r="Y34" s="177"/>
      <c r="Z34" s="177"/>
      <c r="AA34" s="177"/>
      <c r="AB34" s="179"/>
      <c r="AC34" s="177"/>
      <c r="AD34" s="177"/>
      <c r="AE34" s="177"/>
      <c r="AF34" s="177"/>
      <c r="AG34" s="177"/>
      <c r="AH34" s="177"/>
      <c r="AI34" s="177"/>
      <c r="AJ34" s="177"/>
      <c r="AK34" s="179"/>
      <c r="AL34" s="177"/>
      <c r="AM34" s="177"/>
      <c r="AN34" s="177"/>
      <c r="AO34" s="177"/>
      <c r="AP34" s="177"/>
      <c r="AQ34" s="177"/>
      <c r="AR34" s="177"/>
      <c r="AS34" s="178"/>
      <c r="AT34" s="177"/>
      <c r="AU34" s="177"/>
      <c r="AV34" s="177"/>
      <c r="AW34" s="177"/>
      <c r="AX34" s="177"/>
      <c r="AY34" s="177"/>
      <c r="AZ34" s="177"/>
      <c r="BA34" s="177"/>
      <c r="BB34" s="177"/>
      <c r="BC34" s="177"/>
      <c r="BD34" s="177"/>
      <c r="BE34" s="177"/>
      <c r="BF34" s="179"/>
      <c r="BG34" s="177"/>
      <c r="BH34" s="177"/>
      <c r="BI34" s="177"/>
      <c r="BJ34" s="177"/>
      <c r="BK34" s="177"/>
      <c r="BL34" s="177"/>
      <c r="BM34" s="177"/>
      <c r="BN34" s="177"/>
      <c r="BO34" s="177"/>
      <c r="BP34" s="177"/>
      <c r="BQ34" s="177"/>
      <c r="BR34" s="179"/>
      <c r="BS34" s="177"/>
      <c r="BT34" s="177"/>
      <c r="BU34" s="177"/>
      <c r="BV34" s="177"/>
      <c r="BW34" s="177"/>
      <c r="BX34" s="177"/>
      <c r="BY34" s="177"/>
      <c r="BZ34" s="177"/>
      <c r="CA34" s="177"/>
      <c r="CB34" s="179"/>
      <c r="CC34" s="177"/>
      <c r="CD34" s="177"/>
      <c r="CE34" s="177"/>
      <c r="CF34" s="177"/>
      <c r="CG34" s="177"/>
      <c r="CH34" s="177"/>
      <c r="CI34" s="177"/>
      <c r="CJ34" s="177"/>
      <c r="CK34" s="178"/>
      <c r="CL34" s="180"/>
    </row>
    <row r="35" spans="1:90">
      <c r="A35" s="93">
        <f>ROWS($A$3:A33)</f>
        <v>31</v>
      </c>
      <c r="B35" s="106" t="s">
        <v>75</v>
      </c>
      <c r="C35" s="242">
        <v>2007</v>
      </c>
      <c r="D35" s="314" t="s">
        <v>1</v>
      </c>
      <c r="E35" s="316">
        <v>40652</v>
      </c>
      <c r="F35" s="156">
        <v>472458</v>
      </c>
      <c r="G35" s="177">
        <v>203805</v>
      </c>
      <c r="H35" s="177">
        <v>327298</v>
      </c>
      <c r="I35" s="178">
        <v>432124</v>
      </c>
      <c r="J35" s="181"/>
      <c r="K35" s="156">
        <f>BF35</f>
        <v>66103</v>
      </c>
      <c r="L35" s="177">
        <f>AY35</f>
        <v>26231</v>
      </c>
      <c r="M35" s="177">
        <f>BD35</f>
        <v>69254</v>
      </c>
      <c r="N35" s="177">
        <f>AW35</f>
        <v>28454</v>
      </c>
      <c r="O35" s="177">
        <f>BE35</f>
        <v>26360</v>
      </c>
      <c r="P35" s="177">
        <f>'2007'!AZ35+'2007'!BA35</f>
        <v>58983</v>
      </c>
      <c r="Q35" s="177">
        <f>'2007'!AU35</f>
        <v>22578</v>
      </c>
      <c r="R35" s="177">
        <f>AT35+AX35</f>
        <v>35087</v>
      </c>
      <c r="S35" s="177">
        <f>AV35</f>
        <v>19929</v>
      </c>
      <c r="T35" s="177">
        <f t="shared" ref="T35:U39" si="72">BB35</f>
        <v>41956</v>
      </c>
      <c r="U35" s="179">
        <f t="shared" si="72"/>
        <v>77523</v>
      </c>
      <c r="V35" s="177">
        <f>BG35+BJ35</f>
        <v>16620</v>
      </c>
      <c r="W35" s="177">
        <f>BR35</f>
        <v>19529</v>
      </c>
      <c r="X35" s="177">
        <f>BH35+BI35</f>
        <v>40032</v>
      </c>
      <c r="Y35" s="177">
        <f>BK35+BL35+BN35</f>
        <v>43078</v>
      </c>
      <c r="Z35" s="177">
        <f>BM35</f>
        <v>46854</v>
      </c>
      <c r="AA35" s="177">
        <f>BO35+BQ35</f>
        <v>20148</v>
      </c>
      <c r="AB35" s="179">
        <f>BP35</f>
        <v>17544</v>
      </c>
      <c r="AC35" s="177">
        <f>BX35</f>
        <v>39470</v>
      </c>
      <c r="AD35" s="177">
        <f>BU35</f>
        <v>22931</v>
      </c>
      <c r="AE35" s="177">
        <f>BS35+BT35</f>
        <v>53336</v>
      </c>
      <c r="AF35" s="177">
        <f>CA35</f>
        <v>23906</v>
      </c>
      <c r="AG35" s="177">
        <f>BV35</f>
        <v>58801</v>
      </c>
      <c r="AH35" s="177">
        <f>BZ35</f>
        <v>34508</v>
      </c>
      <c r="AI35" s="177">
        <f>BW35</f>
        <v>30854</v>
      </c>
      <c r="AJ35" s="177">
        <f>BY35</f>
        <v>24325</v>
      </c>
      <c r="AK35" s="179">
        <f>CB35</f>
        <v>39167</v>
      </c>
      <c r="AL35" s="177">
        <f>CE35</f>
        <v>34109</v>
      </c>
      <c r="AM35" s="177">
        <f>CH35</f>
        <v>77582</v>
      </c>
      <c r="AN35" s="177">
        <f>CJ35</f>
        <v>87784</v>
      </c>
      <c r="AO35" s="177">
        <f t="shared" ref="AO35:AP39" si="73">CC35</f>
        <v>43348</v>
      </c>
      <c r="AP35" s="177">
        <f t="shared" si="73"/>
        <v>19868</v>
      </c>
      <c r="AQ35" s="177">
        <f>CK35</f>
        <v>55181</v>
      </c>
      <c r="AR35" s="177">
        <f>CI35</f>
        <v>34059</v>
      </c>
      <c r="AS35" s="178">
        <f>CF35+CG35</f>
        <v>80193</v>
      </c>
      <c r="AT35" s="177">
        <v>2542</v>
      </c>
      <c r="AU35" s="177">
        <v>22578</v>
      </c>
      <c r="AV35" s="177">
        <v>19929</v>
      </c>
      <c r="AW35" s="181">
        <v>28454</v>
      </c>
      <c r="AX35" s="177">
        <v>32545</v>
      </c>
      <c r="AY35" s="177">
        <v>26231</v>
      </c>
      <c r="AZ35" s="177">
        <v>4181</v>
      </c>
      <c r="BA35" s="177">
        <v>54802</v>
      </c>
      <c r="BB35" s="177">
        <v>41956</v>
      </c>
      <c r="BC35" s="177">
        <v>77523</v>
      </c>
      <c r="BD35" s="177">
        <v>69254</v>
      </c>
      <c r="BE35" s="177">
        <v>26360</v>
      </c>
      <c r="BF35" s="179">
        <v>66103</v>
      </c>
      <c r="BG35" s="177">
        <v>1745</v>
      </c>
      <c r="BH35" s="177">
        <v>2635</v>
      </c>
      <c r="BI35" s="177">
        <v>37397</v>
      </c>
      <c r="BJ35" s="177">
        <v>14875</v>
      </c>
      <c r="BK35" s="177">
        <v>1838</v>
      </c>
      <c r="BL35" s="177">
        <v>2756</v>
      </c>
      <c r="BM35" s="177">
        <v>46854</v>
      </c>
      <c r="BN35" s="177">
        <v>38484</v>
      </c>
      <c r="BO35" s="177">
        <v>991</v>
      </c>
      <c r="BP35" s="177">
        <v>17544</v>
      </c>
      <c r="BQ35" s="177">
        <v>19157</v>
      </c>
      <c r="BR35" s="179">
        <v>19529</v>
      </c>
      <c r="BS35" s="177">
        <v>3566</v>
      </c>
      <c r="BT35" s="177">
        <v>49770</v>
      </c>
      <c r="BU35" s="177">
        <v>22931</v>
      </c>
      <c r="BV35" s="177">
        <v>58801</v>
      </c>
      <c r="BW35" s="177">
        <v>30854</v>
      </c>
      <c r="BX35" s="177">
        <v>39470</v>
      </c>
      <c r="BY35" s="177">
        <v>24325</v>
      </c>
      <c r="BZ35" s="177">
        <v>34508</v>
      </c>
      <c r="CA35" s="177">
        <v>23906</v>
      </c>
      <c r="CB35" s="179">
        <v>39167</v>
      </c>
      <c r="CC35" s="177">
        <v>43348</v>
      </c>
      <c r="CD35" s="177">
        <v>19868</v>
      </c>
      <c r="CE35" s="177">
        <v>34109</v>
      </c>
      <c r="CF35" s="177">
        <v>4780</v>
      </c>
      <c r="CG35" s="177">
        <v>75413</v>
      </c>
      <c r="CH35" s="177">
        <v>77582</v>
      </c>
      <c r="CI35" s="177">
        <v>34059</v>
      </c>
      <c r="CJ35" s="177">
        <v>87784</v>
      </c>
      <c r="CK35" s="178">
        <v>55181</v>
      </c>
      <c r="CL35" s="180">
        <v>1435682</v>
      </c>
    </row>
    <row r="36" spans="1:90">
      <c r="A36" s="93">
        <f>ROWS($A$3:A34)</f>
        <v>32</v>
      </c>
      <c r="B36" s="106" t="s">
        <v>76</v>
      </c>
      <c r="C36" s="243"/>
      <c r="D36" s="314" t="s">
        <v>1</v>
      </c>
      <c r="E36" s="316">
        <v>40652</v>
      </c>
      <c r="F36" s="156">
        <v>314753</v>
      </c>
      <c r="G36" s="177">
        <v>142086</v>
      </c>
      <c r="H36" s="177">
        <v>144079</v>
      </c>
      <c r="I36" s="178">
        <v>233617</v>
      </c>
      <c r="J36" s="181"/>
      <c r="K36" s="156">
        <f>BF36</f>
        <v>34747</v>
      </c>
      <c r="L36" s="177">
        <f>AY36</f>
        <v>11937</v>
      </c>
      <c r="M36" s="177">
        <f>BD36</f>
        <v>60037</v>
      </c>
      <c r="N36" s="177">
        <f>AW36</f>
        <v>12710</v>
      </c>
      <c r="O36" s="177">
        <f>BE36</f>
        <v>16952</v>
      </c>
      <c r="P36" s="177">
        <f>'2007'!AZ36+'2007'!BA36</f>
        <v>44854</v>
      </c>
      <c r="Q36" s="177">
        <f>'2007'!AU36</f>
        <v>15628</v>
      </c>
      <c r="R36" s="177">
        <f>AT36+AX36</f>
        <v>26155</v>
      </c>
      <c r="S36" s="177">
        <f>AV36</f>
        <v>10216</v>
      </c>
      <c r="T36" s="177">
        <f t="shared" si="72"/>
        <v>30934</v>
      </c>
      <c r="U36" s="179">
        <f t="shared" si="72"/>
        <v>50583</v>
      </c>
      <c r="V36" s="177">
        <f>BG36+BJ36</f>
        <v>10522</v>
      </c>
      <c r="W36" s="177">
        <f>BR36</f>
        <v>9607</v>
      </c>
      <c r="X36" s="177">
        <f>BH36+BI36</f>
        <v>31786</v>
      </c>
      <c r="Y36" s="177">
        <f>BK36+BL36+BN36</f>
        <v>34032</v>
      </c>
      <c r="Z36" s="177">
        <f>BM36</f>
        <v>35126</v>
      </c>
      <c r="AA36" s="177">
        <f>BO36+BQ36</f>
        <v>12405</v>
      </c>
      <c r="AB36" s="179">
        <f>BP36</f>
        <v>8608</v>
      </c>
      <c r="AC36" s="177">
        <f>BX36</f>
        <v>15635</v>
      </c>
      <c r="AD36" s="177">
        <f>BU36</f>
        <v>10322</v>
      </c>
      <c r="AE36" s="177">
        <f>BS36+BT36</f>
        <v>21260</v>
      </c>
      <c r="AF36" s="177">
        <f>CA36</f>
        <v>7458</v>
      </c>
      <c r="AG36" s="177">
        <f>BV36</f>
        <v>28247</v>
      </c>
      <c r="AH36" s="177">
        <f>BZ36</f>
        <v>19618</v>
      </c>
      <c r="AI36" s="177">
        <f>BW36</f>
        <v>16995</v>
      </c>
      <c r="AJ36" s="177">
        <f>BY36</f>
        <v>9013</v>
      </c>
      <c r="AK36" s="179">
        <f>CB36</f>
        <v>15531</v>
      </c>
      <c r="AL36" s="177">
        <f>CE36</f>
        <v>13452</v>
      </c>
      <c r="AM36" s="177">
        <f>CH36</f>
        <v>51712</v>
      </c>
      <c r="AN36" s="177">
        <f>CJ36</f>
        <v>25547</v>
      </c>
      <c r="AO36" s="177">
        <f t="shared" si="73"/>
        <v>20487</v>
      </c>
      <c r="AP36" s="177">
        <f t="shared" si="73"/>
        <v>13585</v>
      </c>
      <c r="AQ36" s="177">
        <f>CK36</f>
        <v>34998</v>
      </c>
      <c r="AR36" s="177">
        <f>CI36</f>
        <v>13793</v>
      </c>
      <c r="AS36" s="178">
        <f>CF36+CG36</f>
        <v>60043</v>
      </c>
      <c r="AT36" s="177">
        <v>1538</v>
      </c>
      <c r="AU36" s="181">
        <v>15628</v>
      </c>
      <c r="AV36" s="181">
        <v>10216</v>
      </c>
      <c r="AW36" s="181">
        <v>12710</v>
      </c>
      <c r="AX36" s="181">
        <v>24617</v>
      </c>
      <c r="AY36" s="177">
        <v>11937</v>
      </c>
      <c r="AZ36" s="177">
        <v>3237</v>
      </c>
      <c r="BA36" s="177">
        <v>41617</v>
      </c>
      <c r="BB36" s="177">
        <v>30934</v>
      </c>
      <c r="BC36" s="177">
        <v>50583</v>
      </c>
      <c r="BD36" s="177">
        <v>60037</v>
      </c>
      <c r="BE36" s="177">
        <v>16952</v>
      </c>
      <c r="BF36" s="179">
        <v>34747</v>
      </c>
      <c r="BG36" s="177">
        <v>616</v>
      </c>
      <c r="BH36" s="177">
        <v>2065</v>
      </c>
      <c r="BI36" s="177">
        <v>29721</v>
      </c>
      <c r="BJ36" s="177">
        <v>9906</v>
      </c>
      <c r="BK36" s="177">
        <v>1524</v>
      </c>
      <c r="BL36" s="177">
        <v>2382</v>
      </c>
      <c r="BM36" s="177">
        <v>35126</v>
      </c>
      <c r="BN36" s="177">
        <v>30126</v>
      </c>
      <c r="BO36" s="177">
        <v>497</v>
      </c>
      <c r="BP36" s="177">
        <v>8608</v>
      </c>
      <c r="BQ36" s="177">
        <v>11908</v>
      </c>
      <c r="BR36" s="179">
        <v>9607</v>
      </c>
      <c r="BS36" s="177">
        <v>1630</v>
      </c>
      <c r="BT36" s="177">
        <v>19630</v>
      </c>
      <c r="BU36" s="177">
        <v>10322</v>
      </c>
      <c r="BV36" s="177">
        <v>28247</v>
      </c>
      <c r="BW36" s="177">
        <v>16995</v>
      </c>
      <c r="BX36" s="177">
        <v>15635</v>
      </c>
      <c r="BY36" s="177">
        <v>9013</v>
      </c>
      <c r="BZ36" s="177">
        <v>19618</v>
      </c>
      <c r="CA36" s="177">
        <v>7458</v>
      </c>
      <c r="CB36" s="179">
        <v>15531</v>
      </c>
      <c r="CC36" s="177">
        <v>20487</v>
      </c>
      <c r="CD36" s="177">
        <v>13585</v>
      </c>
      <c r="CE36" s="177">
        <v>13452</v>
      </c>
      <c r="CF36" s="177">
        <v>4083</v>
      </c>
      <c r="CG36" s="177">
        <v>55960</v>
      </c>
      <c r="CH36" s="177">
        <v>51712</v>
      </c>
      <c r="CI36" s="177">
        <v>13793</v>
      </c>
      <c r="CJ36" s="177">
        <v>25547</v>
      </c>
      <c r="CK36" s="178">
        <v>34998</v>
      </c>
      <c r="CL36" s="180">
        <v>834535</v>
      </c>
    </row>
    <row r="37" spans="1:90">
      <c r="A37" s="93">
        <f>ROWS($A$3:A35)</f>
        <v>33</v>
      </c>
      <c r="B37" s="106" t="s">
        <v>7</v>
      </c>
      <c r="C37" s="243"/>
      <c r="D37" s="314" t="s">
        <v>1</v>
      </c>
      <c r="E37" s="316">
        <v>40652</v>
      </c>
      <c r="F37" s="156">
        <v>142250</v>
      </c>
      <c r="G37" s="177">
        <v>57320</v>
      </c>
      <c r="H37" s="177">
        <v>163299</v>
      </c>
      <c r="I37" s="178">
        <v>188526</v>
      </c>
      <c r="J37" s="181"/>
      <c r="K37" s="156">
        <f>BF37</f>
        <v>30937</v>
      </c>
      <c r="L37" s="177">
        <f>AY37</f>
        <v>12581</v>
      </c>
      <c r="M37" s="177">
        <f>BD37</f>
        <v>8233</v>
      </c>
      <c r="N37" s="177">
        <f>AW37</f>
        <v>15586</v>
      </c>
      <c r="O37" s="177">
        <f>BE37</f>
        <v>9380</v>
      </c>
      <c r="P37" s="177">
        <f>'2007'!AZ37+'2007'!BA37</f>
        <v>7091</v>
      </c>
      <c r="Q37" s="177">
        <f>'2007'!AU37</f>
        <v>6801</v>
      </c>
      <c r="R37" s="177">
        <f>AT37+AX37</f>
        <v>6194</v>
      </c>
      <c r="S37" s="177">
        <f>AV37</f>
        <v>9319</v>
      </c>
      <c r="T37" s="177">
        <f t="shared" si="72"/>
        <v>9393</v>
      </c>
      <c r="U37" s="179">
        <f t="shared" si="72"/>
        <v>26735</v>
      </c>
      <c r="V37" s="177">
        <f>BG37+BJ37</f>
        <v>4915</v>
      </c>
      <c r="W37" s="177">
        <f>BR37</f>
        <v>9893</v>
      </c>
      <c r="X37" s="177">
        <f>BH37+BI37</f>
        <v>7208</v>
      </c>
      <c r="Y37" s="177">
        <f>BK37+BL37+BN37</f>
        <v>7791</v>
      </c>
      <c r="Z37" s="177">
        <f>BM37</f>
        <v>11151</v>
      </c>
      <c r="AA37" s="177">
        <f>BO37+BQ37</f>
        <v>7491</v>
      </c>
      <c r="AB37" s="179">
        <f>BP37</f>
        <v>8871</v>
      </c>
      <c r="AC37" s="177">
        <f>BX37</f>
        <v>23796</v>
      </c>
      <c r="AD37" s="177">
        <f>BU37</f>
        <v>10031</v>
      </c>
      <c r="AE37" s="177">
        <f>BS37+BT37</f>
        <v>25230</v>
      </c>
      <c r="AF37" s="177">
        <f>CA37</f>
        <v>14975</v>
      </c>
      <c r="AG37" s="177">
        <f>BV37</f>
        <v>23031</v>
      </c>
      <c r="AH37" s="177">
        <f>BZ37</f>
        <v>13778</v>
      </c>
      <c r="AI37" s="177">
        <f>BW37</f>
        <v>13818</v>
      </c>
      <c r="AJ37" s="177">
        <f>BY37</f>
        <v>15288</v>
      </c>
      <c r="AK37" s="179">
        <f>CB37</f>
        <v>23352</v>
      </c>
      <c r="AL37" s="177">
        <f>CE37</f>
        <v>20487</v>
      </c>
      <c r="AM37" s="177">
        <f>CH37</f>
        <v>25695</v>
      </c>
      <c r="AN37" s="177">
        <f>CJ37</f>
        <v>60769</v>
      </c>
      <c r="AO37" s="177">
        <f t="shared" si="73"/>
        <v>22679</v>
      </c>
      <c r="AP37" s="177">
        <f t="shared" si="73"/>
        <v>6198</v>
      </c>
      <c r="AQ37" s="177">
        <f>CK37</f>
        <v>20091</v>
      </c>
      <c r="AR37" s="177">
        <f>CI37</f>
        <v>12616</v>
      </c>
      <c r="AS37" s="178">
        <f>CF37+CG37</f>
        <v>19991</v>
      </c>
      <c r="AT37" s="181">
        <v>540</v>
      </c>
      <c r="AU37" s="181">
        <v>6801</v>
      </c>
      <c r="AV37" s="181">
        <v>9319</v>
      </c>
      <c r="AW37" s="181">
        <v>15586</v>
      </c>
      <c r="AX37" s="181">
        <v>5654</v>
      </c>
      <c r="AY37" s="177">
        <v>12581</v>
      </c>
      <c r="AZ37" s="177">
        <v>217</v>
      </c>
      <c r="BA37" s="177">
        <v>6874</v>
      </c>
      <c r="BB37" s="177">
        <v>9393</v>
      </c>
      <c r="BC37" s="177">
        <v>26735</v>
      </c>
      <c r="BD37" s="177">
        <v>8233</v>
      </c>
      <c r="BE37" s="177">
        <v>9380</v>
      </c>
      <c r="BF37" s="179">
        <v>30937</v>
      </c>
      <c r="BG37" s="177">
        <v>828</v>
      </c>
      <c r="BH37" s="177">
        <v>497</v>
      </c>
      <c r="BI37" s="177">
        <v>6711</v>
      </c>
      <c r="BJ37" s="177">
        <v>4087</v>
      </c>
      <c r="BK37" s="177">
        <v>230</v>
      </c>
      <c r="BL37" s="177">
        <v>363</v>
      </c>
      <c r="BM37" s="177">
        <v>11151</v>
      </c>
      <c r="BN37" s="177">
        <v>7198</v>
      </c>
      <c r="BO37" s="177">
        <v>493</v>
      </c>
      <c r="BP37" s="177">
        <v>8871</v>
      </c>
      <c r="BQ37" s="177">
        <v>6998</v>
      </c>
      <c r="BR37" s="179">
        <v>9893</v>
      </c>
      <c r="BS37" s="177">
        <v>1108</v>
      </c>
      <c r="BT37" s="177">
        <v>24122</v>
      </c>
      <c r="BU37" s="177">
        <v>10031</v>
      </c>
      <c r="BV37" s="177">
        <v>23031</v>
      </c>
      <c r="BW37" s="177">
        <v>13818</v>
      </c>
      <c r="BX37" s="177">
        <v>23796</v>
      </c>
      <c r="BY37" s="177">
        <v>15288</v>
      </c>
      <c r="BZ37" s="177">
        <v>13778</v>
      </c>
      <c r="CA37" s="177">
        <v>14975</v>
      </c>
      <c r="CB37" s="179">
        <v>23352</v>
      </c>
      <c r="CC37" s="177">
        <v>22679</v>
      </c>
      <c r="CD37" s="177">
        <v>6198</v>
      </c>
      <c r="CE37" s="177">
        <v>20487</v>
      </c>
      <c r="CF37" s="177">
        <v>674</v>
      </c>
      <c r="CG37" s="177">
        <v>19317</v>
      </c>
      <c r="CH37" s="177">
        <v>25695</v>
      </c>
      <c r="CI37" s="177">
        <v>12616</v>
      </c>
      <c r="CJ37" s="177">
        <v>60769</v>
      </c>
      <c r="CK37" s="178">
        <v>20091</v>
      </c>
      <c r="CL37" s="180">
        <v>551397</v>
      </c>
    </row>
    <row r="38" spans="1:90">
      <c r="A38" s="93">
        <f>ROWS($A$3:A36)</f>
        <v>34</v>
      </c>
      <c r="B38" s="106" t="s">
        <v>263</v>
      </c>
      <c r="C38" s="243"/>
      <c r="D38" s="314" t="s">
        <v>1</v>
      </c>
      <c r="E38" s="316">
        <v>40652</v>
      </c>
      <c r="F38" s="156">
        <v>3377</v>
      </c>
      <c r="G38" s="177">
        <v>1335</v>
      </c>
      <c r="H38" s="177">
        <v>7922</v>
      </c>
      <c r="I38" s="178">
        <v>8701</v>
      </c>
      <c r="J38" s="181"/>
      <c r="K38" s="156">
        <f>BF38</f>
        <v>18</v>
      </c>
      <c r="L38" s="177">
        <f>AY38</f>
        <v>524</v>
      </c>
      <c r="M38" s="177">
        <f>BD38</f>
        <v>86</v>
      </c>
      <c r="N38" s="177">
        <f>AW38</f>
        <v>100</v>
      </c>
      <c r="O38" s="177">
        <f>BE38</f>
        <v>2</v>
      </c>
      <c r="P38" s="177">
        <f>'2007'!AZ38+'2007'!BA38</f>
        <v>1022</v>
      </c>
      <c r="Q38" s="177">
        <f>'2007'!AU38</f>
        <v>96</v>
      </c>
      <c r="R38" s="177">
        <f>AT38+AX38</f>
        <v>501</v>
      </c>
      <c r="S38" s="177">
        <f>AV38</f>
        <v>167</v>
      </c>
      <c r="T38" s="177">
        <f t="shared" si="72"/>
        <v>738</v>
      </c>
      <c r="U38" s="179">
        <f t="shared" si="72"/>
        <v>123</v>
      </c>
      <c r="V38" s="177">
        <f>BG38+BJ38</f>
        <v>507</v>
      </c>
      <c r="W38" s="177">
        <f>BR38</f>
        <v>2</v>
      </c>
      <c r="X38" s="177">
        <f>BH38+BI38</f>
        <v>249</v>
      </c>
      <c r="Y38" s="177">
        <f>BK38+BN38</f>
        <v>424</v>
      </c>
      <c r="Z38" s="177">
        <f>BM38</f>
        <v>121</v>
      </c>
      <c r="AA38" s="177">
        <f>BQ38</f>
        <v>30</v>
      </c>
      <c r="AB38" s="179">
        <f>BP38</f>
        <v>2</v>
      </c>
      <c r="AC38" s="177">
        <f>BX38</f>
        <v>17</v>
      </c>
      <c r="AD38" s="177">
        <f>BU38</f>
        <v>668</v>
      </c>
      <c r="AE38" s="177">
        <f>BS38+BT38</f>
        <v>942</v>
      </c>
      <c r="AF38" s="177">
        <f>CA38</f>
        <v>675</v>
      </c>
      <c r="AG38" s="177">
        <f>BV38</f>
        <v>4487</v>
      </c>
      <c r="AH38" s="177">
        <f>BZ38</f>
        <v>960</v>
      </c>
      <c r="AI38" s="177">
        <f>BW38</f>
        <v>12</v>
      </c>
      <c r="AJ38" s="177">
        <f>BY38</f>
        <v>1</v>
      </c>
      <c r="AK38" s="179">
        <f>CB38</f>
        <v>160</v>
      </c>
      <c r="AL38" s="177">
        <f>CE38</f>
        <v>24</v>
      </c>
      <c r="AM38" s="177">
        <f>CH38</f>
        <v>43</v>
      </c>
      <c r="AN38" s="177">
        <f>CJ38</f>
        <v>1312</v>
      </c>
      <c r="AO38" s="177">
        <f t="shared" si="73"/>
        <v>88</v>
      </c>
      <c r="AP38" s="177">
        <f t="shared" si="73"/>
        <v>63</v>
      </c>
      <c r="AQ38" s="177">
        <f>CK38</f>
        <v>34</v>
      </c>
      <c r="AR38" s="177">
        <f>CI38</f>
        <v>7070</v>
      </c>
      <c r="AS38" s="178">
        <f>CF38+CG38</f>
        <v>67</v>
      </c>
      <c r="AT38" s="181">
        <v>71</v>
      </c>
      <c r="AU38" s="181">
        <v>96</v>
      </c>
      <c r="AV38" s="181">
        <v>167</v>
      </c>
      <c r="AW38" s="181">
        <v>100</v>
      </c>
      <c r="AX38" s="181">
        <v>430</v>
      </c>
      <c r="AY38" s="177">
        <v>524</v>
      </c>
      <c r="AZ38" s="177">
        <v>53</v>
      </c>
      <c r="BA38" s="177">
        <v>969</v>
      </c>
      <c r="BB38" s="177">
        <v>738</v>
      </c>
      <c r="BC38" s="177">
        <v>123</v>
      </c>
      <c r="BD38" s="177">
        <v>86</v>
      </c>
      <c r="BE38" s="177">
        <v>2</v>
      </c>
      <c r="BF38" s="179">
        <v>18</v>
      </c>
      <c r="BG38" s="177">
        <v>45</v>
      </c>
      <c r="BH38" s="177">
        <v>46</v>
      </c>
      <c r="BI38" s="177">
        <v>203</v>
      </c>
      <c r="BJ38" s="177">
        <v>462</v>
      </c>
      <c r="BK38" s="177">
        <v>23</v>
      </c>
      <c r="BL38" s="177" t="s">
        <v>252</v>
      </c>
      <c r="BM38" s="177">
        <v>121</v>
      </c>
      <c r="BN38" s="177">
        <v>401</v>
      </c>
      <c r="BO38" s="177" t="s">
        <v>252</v>
      </c>
      <c r="BP38" s="177">
        <v>2</v>
      </c>
      <c r="BQ38" s="177">
        <v>30</v>
      </c>
      <c r="BR38" s="179">
        <v>2</v>
      </c>
      <c r="BS38" s="177">
        <v>92</v>
      </c>
      <c r="BT38" s="177">
        <v>850</v>
      </c>
      <c r="BU38" s="177">
        <v>668</v>
      </c>
      <c r="BV38" s="177">
        <v>4487</v>
      </c>
      <c r="BW38" s="177">
        <v>12</v>
      </c>
      <c r="BX38" s="177">
        <v>17</v>
      </c>
      <c r="BY38" s="177">
        <v>1</v>
      </c>
      <c r="BZ38" s="177">
        <v>960</v>
      </c>
      <c r="CA38" s="177">
        <v>675</v>
      </c>
      <c r="CB38" s="179">
        <v>160</v>
      </c>
      <c r="CC38" s="177">
        <v>88</v>
      </c>
      <c r="CD38" s="177">
        <v>63</v>
      </c>
      <c r="CE38" s="177">
        <v>24</v>
      </c>
      <c r="CF38" s="177">
        <v>7</v>
      </c>
      <c r="CG38" s="177">
        <v>60</v>
      </c>
      <c r="CH38" s="177">
        <v>43</v>
      </c>
      <c r="CI38" s="177">
        <v>7070</v>
      </c>
      <c r="CJ38" s="177">
        <v>1312</v>
      </c>
      <c r="CK38" s="178">
        <v>34</v>
      </c>
      <c r="CL38" s="180">
        <v>21343</v>
      </c>
    </row>
    <row r="39" spans="1:90">
      <c r="A39" s="93">
        <f>ROWS($A$3:A37)</f>
        <v>35</v>
      </c>
      <c r="B39" s="106" t="s">
        <v>264</v>
      </c>
      <c r="C39" s="243"/>
      <c r="D39" s="314" t="s">
        <v>1</v>
      </c>
      <c r="E39" s="316">
        <v>40652</v>
      </c>
      <c r="F39" s="156">
        <v>10436</v>
      </c>
      <c r="G39" s="177">
        <v>2082</v>
      </c>
      <c r="H39" s="177">
        <v>10864</v>
      </c>
      <c r="I39" s="178">
        <v>537</v>
      </c>
      <c r="J39" s="181"/>
      <c r="K39" s="156" t="str">
        <f>BF39</f>
        <v>*</v>
      </c>
      <c r="L39" s="177">
        <f>AY39</f>
        <v>1049</v>
      </c>
      <c r="M39" s="177">
        <f>BD39</f>
        <v>762</v>
      </c>
      <c r="N39" s="177" t="str">
        <f>AW39</f>
        <v>*</v>
      </c>
      <c r="O39" s="177">
        <f>BE39</f>
        <v>0</v>
      </c>
      <c r="P39" s="177">
        <f>'2007'!AZ39+'2007'!BA39</f>
        <v>5675</v>
      </c>
      <c r="Q39" s="177">
        <f>'2007'!AU39</f>
        <v>3</v>
      </c>
      <c r="R39" s="177">
        <f>AT39+AX39</f>
        <v>2049</v>
      </c>
      <c r="S39" s="177">
        <f>AV39</f>
        <v>118</v>
      </c>
      <c r="T39" s="177">
        <f t="shared" si="72"/>
        <v>780</v>
      </c>
      <c r="U39" s="179" t="str">
        <f t="shared" si="72"/>
        <v>*</v>
      </c>
      <c r="V39" s="177">
        <f>BG39+BJ39</f>
        <v>530</v>
      </c>
      <c r="W39" s="177" t="str">
        <f>BR39</f>
        <v>*</v>
      </c>
      <c r="X39" s="177">
        <f>BH39+BI39</f>
        <v>712</v>
      </c>
      <c r="Y39" s="177">
        <f>BK39+BN39</f>
        <v>643</v>
      </c>
      <c r="Z39" s="177">
        <f>BM39</f>
        <v>10</v>
      </c>
      <c r="AA39" s="177">
        <f>BQ39</f>
        <v>187</v>
      </c>
      <c r="AB39" s="179">
        <f>BP39</f>
        <v>0</v>
      </c>
      <c r="AC39" s="177">
        <f>BX39</f>
        <v>0</v>
      </c>
      <c r="AD39" s="177">
        <f>BU39</f>
        <v>1793</v>
      </c>
      <c r="AE39" s="177">
        <f>BS39+BT39</f>
        <v>5790</v>
      </c>
      <c r="AF39" s="177">
        <f>CA39</f>
        <v>723</v>
      </c>
      <c r="AG39" s="177">
        <f>BV39</f>
        <v>2448</v>
      </c>
      <c r="AH39" s="177">
        <f>BZ39</f>
        <v>54</v>
      </c>
      <c r="AI39" s="177">
        <f>BW39</f>
        <v>0</v>
      </c>
      <c r="AJ39" s="177">
        <f>BY39</f>
        <v>0</v>
      </c>
      <c r="AK39" s="179">
        <f>CB39</f>
        <v>56</v>
      </c>
      <c r="AL39" s="177">
        <f>CE39</f>
        <v>0</v>
      </c>
      <c r="AM39" s="177">
        <f>CH39</f>
        <v>0</v>
      </c>
      <c r="AN39" s="177" t="str">
        <f>CJ39</f>
        <v>*</v>
      </c>
      <c r="AO39" s="177">
        <f t="shared" si="73"/>
        <v>18</v>
      </c>
      <c r="AP39" s="177">
        <f t="shared" si="73"/>
        <v>9</v>
      </c>
      <c r="AQ39" s="177">
        <f>CK39</f>
        <v>0</v>
      </c>
      <c r="AR39" s="177">
        <f>CI39</f>
        <v>510</v>
      </c>
      <c r="AS39" s="178" t="str">
        <f>CG39</f>
        <v>*</v>
      </c>
      <c r="AT39" s="181">
        <v>358</v>
      </c>
      <c r="AU39" s="181">
        <v>3</v>
      </c>
      <c r="AV39" s="181">
        <v>118</v>
      </c>
      <c r="AW39" s="177" t="s">
        <v>252</v>
      </c>
      <c r="AX39" s="181">
        <v>1691</v>
      </c>
      <c r="AY39" s="177">
        <v>1049</v>
      </c>
      <c r="AZ39" s="177">
        <v>626</v>
      </c>
      <c r="BA39" s="177">
        <v>5049</v>
      </c>
      <c r="BB39" s="177">
        <v>780</v>
      </c>
      <c r="BC39" s="177" t="s">
        <v>252</v>
      </c>
      <c r="BD39" s="177">
        <v>762</v>
      </c>
      <c r="BE39" s="177">
        <v>0</v>
      </c>
      <c r="BF39" s="179" t="s">
        <v>252</v>
      </c>
      <c r="BG39" s="177">
        <v>195</v>
      </c>
      <c r="BH39" s="177">
        <v>9</v>
      </c>
      <c r="BI39" s="177">
        <v>703</v>
      </c>
      <c r="BJ39" s="177">
        <v>335</v>
      </c>
      <c r="BK39" s="177">
        <v>53</v>
      </c>
      <c r="BL39" s="177" t="s">
        <v>252</v>
      </c>
      <c r="BM39" s="177">
        <v>10</v>
      </c>
      <c r="BN39" s="177">
        <v>590</v>
      </c>
      <c r="BO39" s="177">
        <v>0</v>
      </c>
      <c r="BP39" s="177">
        <v>0</v>
      </c>
      <c r="BQ39" s="177">
        <v>187</v>
      </c>
      <c r="BR39" s="179" t="s">
        <v>252</v>
      </c>
      <c r="BS39" s="177">
        <v>712</v>
      </c>
      <c r="BT39" s="177">
        <v>5078</v>
      </c>
      <c r="BU39" s="177">
        <v>1793</v>
      </c>
      <c r="BV39" s="177">
        <v>2448</v>
      </c>
      <c r="BW39" s="177">
        <v>0</v>
      </c>
      <c r="BX39" s="177">
        <v>0</v>
      </c>
      <c r="BY39" s="177">
        <v>0</v>
      </c>
      <c r="BZ39" s="177">
        <v>54</v>
      </c>
      <c r="CA39" s="177">
        <v>723</v>
      </c>
      <c r="CB39" s="179">
        <v>56</v>
      </c>
      <c r="CC39" s="177">
        <v>18</v>
      </c>
      <c r="CD39" s="177">
        <v>9</v>
      </c>
      <c r="CE39" s="177">
        <v>0</v>
      </c>
      <c r="CF39" s="177" t="s">
        <v>252</v>
      </c>
      <c r="CG39" s="177" t="s">
        <v>252</v>
      </c>
      <c r="CH39" s="177">
        <v>0</v>
      </c>
      <c r="CI39" s="177">
        <v>510</v>
      </c>
      <c r="CJ39" s="177" t="s">
        <v>252</v>
      </c>
      <c r="CK39" s="178">
        <v>0</v>
      </c>
      <c r="CL39" s="180">
        <v>23923</v>
      </c>
    </row>
    <row r="40" spans="1:90">
      <c r="A40" s="93">
        <f>ROWS($A$3:A38)</f>
        <v>36</v>
      </c>
      <c r="B40" s="67" t="s">
        <v>109</v>
      </c>
      <c r="C40" s="243"/>
      <c r="D40" s="314"/>
      <c r="E40" s="333"/>
      <c r="F40" s="156"/>
      <c r="G40" s="177"/>
      <c r="H40" s="177"/>
      <c r="I40" s="178"/>
      <c r="J40" s="181"/>
      <c r="K40" s="156"/>
      <c r="L40" s="177"/>
      <c r="M40" s="177"/>
      <c r="N40" s="177"/>
      <c r="O40" s="177"/>
      <c r="P40" s="177"/>
      <c r="Q40" s="177"/>
      <c r="R40" s="177"/>
      <c r="S40" s="177"/>
      <c r="T40" s="177"/>
      <c r="U40" s="179"/>
      <c r="V40" s="177"/>
      <c r="W40" s="177"/>
      <c r="X40" s="177"/>
      <c r="Y40" s="177"/>
      <c r="Z40" s="177"/>
      <c r="AA40" s="177"/>
      <c r="AB40" s="179"/>
      <c r="AC40" s="177"/>
      <c r="AD40" s="177"/>
      <c r="AE40" s="177"/>
      <c r="AF40" s="177"/>
      <c r="AG40" s="177"/>
      <c r="AH40" s="177"/>
      <c r="AI40" s="177"/>
      <c r="AJ40" s="177"/>
      <c r="AK40" s="179"/>
      <c r="AL40" s="177"/>
      <c r="AM40" s="177"/>
      <c r="AN40" s="177"/>
      <c r="AO40" s="177"/>
      <c r="AP40" s="177"/>
      <c r="AQ40" s="177"/>
      <c r="AR40" s="177"/>
      <c r="AS40" s="178"/>
      <c r="AT40" s="177"/>
      <c r="AU40" s="177"/>
      <c r="AV40" s="177"/>
      <c r="AW40" s="177"/>
      <c r="AX40" s="177"/>
      <c r="AY40" s="177"/>
      <c r="AZ40" s="177"/>
      <c r="BA40" s="177"/>
      <c r="BB40" s="177"/>
      <c r="BC40" s="177"/>
      <c r="BD40" s="177"/>
      <c r="BE40" s="177"/>
      <c r="BF40" s="179"/>
      <c r="BG40" s="177"/>
      <c r="BH40" s="177"/>
      <c r="BI40" s="177"/>
      <c r="BJ40" s="177"/>
      <c r="BK40" s="177"/>
      <c r="BL40" s="177"/>
      <c r="BM40" s="177"/>
      <c r="BN40" s="177"/>
      <c r="BO40" s="177"/>
      <c r="BP40" s="177"/>
      <c r="BQ40" s="177"/>
      <c r="BR40" s="179"/>
      <c r="BS40" s="177"/>
      <c r="BT40" s="177"/>
      <c r="BU40" s="177"/>
      <c r="BV40" s="177"/>
      <c r="BW40" s="177"/>
      <c r="BX40" s="177"/>
      <c r="BY40" s="177"/>
      <c r="BZ40" s="177"/>
      <c r="CA40" s="177"/>
      <c r="CB40" s="179"/>
      <c r="CC40" s="177"/>
      <c r="CD40" s="177"/>
      <c r="CE40" s="177"/>
      <c r="CF40" s="177"/>
      <c r="CG40" s="177"/>
      <c r="CH40" s="177"/>
      <c r="CI40" s="177"/>
      <c r="CJ40" s="177"/>
      <c r="CK40" s="178"/>
      <c r="CL40" s="180"/>
    </row>
    <row r="41" spans="1:90">
      <c r="A41" s="93">
        <f>ROWS($A$3:A39)</f>
        <v>37</v>
      </c>
      <c r="B41" s="106" t="s">
        <v>78</v>
      </c>
      <c r="C41" s="242">
        <v>2007</v>
      </c>
      <c r="D41" s="314" t="s">
        <v>8</v>
      </c>
      <c r="E41" s="316">
        <v>40648</v>
      </c>
      <c r="F41" s="156">
        <v>310044</v>
      </c>
      <c r="G41" s="177">
        <v>85034</v>
      </c>
      <c r="H41" s="177">
        <v>230097</v>
      </c>
      <c r="I41" s="178">
        <v>404951</v>
      </c>
      <c r="J41" s="181"/>
      <c r="K41" s="156">
        <f t="shared" ref="K41:K54" si="74">BF41</f>
        <v>75547</v>
      </c>
      <c r="L41" s="177">
        <f t="shared" ref="L41:L54" si="75">AY41</f>
        <v>22093</v>
      </c>
      <c r="M41" s="177">
        <f t="shared" ref="M41:M54" si="76">BD41</f>
        <v>22123</v>
      </c>
      <c r="N41" s="177">
        <f t="shared" ref="N41:N54" si="77">AW41</f>
        <v>30089</v>
      </c>
      <c r="O41" s="177">
        <f t="shared" ref="O41:O54" si="78">BE41</f>
        <v>22969</v>
      </c>
      <c r="P41" s="177">
        <f>AZ41+BA41</f>
        <v>14447</v>
      </c>
      <c r="Q41" s="177">
        <f>'2007'!AU41</f>
        <v>8839</v>
      </c>
      <c r="R41" s="177">
        <f>AT41+AX41</f>
        <v>15015</v>
      </c>
      <c r="S41" s="177">
        <f t="shared" ref="S41:S54" si="79">AV41</f>
        <v>9998</v>
      </c>
      <c r="T41" s="177">
        <f t="shared" ref="T41:T54" si="80">BB41</f>
        <v>22096</v>
      </c>
      <c r="U41" s="179">
        <f t="shared" ref="U41:U54" si="81">BC41</f>
        <v>66828</v>
      </c>
      <c r="V41" s="177">
        <f>BG41+BJ41</f>
        <v>2669</v>
      </c>
      <c r="W41" s="177">
        <f t="shared" ref="W41:W54" si="82">BR41</f>
        <v>12864</v>
      </c>
      <c r="X41" s="177">
        <f>BH41+BI41</f>
        <v>6215</v>
      </c>
      <c r="Y41" s="177">
        <f>BK41+BL41+BN41</f>
        <v>14327</v>
      </c>
      <c r="Z41" s="177">
        <f t="shared" ref="Z41:Z54" si="83">BM41</f>
        <v>26118</v>
      </c>
      <c r="AA41" s="177">
        <f>BO41+BQ41</f>
        <v>10826</v>
      </c>
      <c r="AB41" s="179">
        <f t="shared" ref="AB41:AB54" si="84">BP41</f>
        <v>12015</v>
      </c>
      <c r="AC41" s="177">
        <f t="shared" ref="AC41:AC54" si="85">BX41</f>
        <v>32832</v>
      </c>
      <c r="AD41" s="177">
        <f t="shared" ref="AD41:AD54" si="86">BU41</f>
        <v>16291</v>
      </c>
      <c r="AE41" s="177">
        <f>BS41+BT41</f>
        <v>31395</v>
      </c>
      <c r="AF41" s="177">
        <f t="shared" ref="AF41:AF54" si="87">CA41</f>
        <v>17137</v>
      </c>
      <c r="AG41" s="177">
        <f t="shared" ref="AG41:AG54" si="88">BV41</f>
        <v>33444</v>
      </c>
      <c r="AH41" s="177">
        <f t="shared" ref="AH41:AH54" si="89">BZ41</f>
        <v>25930</v>
      </c>
      <c r="AI41" s="177">
        <f t="shared" ref="AI41:AI54" si="90">BW41</f>
        <v>19795</v>
      </c>
      <c r="AJ41" s="177">
        <f t="shared" ref="AJ41:AJ54" si="91">BY41</f>
        <v>16130</v>
      </c>
      <c r="AK41" s="179">
        <f t="shared" ref="AK41:AK54" si="92">CB41</f>
        <v>37143</v>
      </c>
      <c r="AL41" s="177">
        <f t="shared" ref="AL41:AL54" si="93">CE41</f>
        <v>13578</v>
      </c>
      <c r="AM41" s="177">
        <f t="shared" ref="AM41:AM54" si="94">CH41</f>
        <v>92948</v>
      </c>
      <c r="AN41" s="177">
        <f t="shared" ref="AN41:AN54" si="95">CJ41</f>
        <v>142871</v>
      </c>
      <c r="AO41" s="177">
        <f t="shared" ref="AO41:AO54" si="96">CC41</f>
        <v>29864</v>
      </c>
      <c r="AP41" s="177">
        <f t="shared" ref="AP41:AP54" si="97">CD41</f>
        <v>6411</v>
      </c>
      <c r="AQ41" s="177">
        <f t="shared" ref="AQ41:AQ54" si="98">CK41</f>
        <v>38534</v>
      </c>
      <c r="AR41" s="177">
        <f t="shared" ref="AR41:AR54" si="99">CI41</f>
        <v>25914</v>
      </c>
      <c r="AS41" s="178">
        <f>CF41+CG41</f>
        <v>54831</v>
      </c>
      <c r="AT41" s="181">
        <v>889</v>
      </c>
      <c r="AU41" s="181">
        <v>8839</v>
      </c>
      <c r="AV41" s="181">
        <v>9998</v>
      </c>
      <c r="AW41" s="181">
        <v>30089</v>
      </c>
      <c r="AX41" s="181">
        <v>14126</v>
      </c>
      <c r="AY41" s="177">
        <v>22093</v>
      </c>
      <c r="AZ41" s="177">
        <v>327</v>
      </c>
      <c r="BA41" s="177">
        <v>14120</v>
      </c>
      <c r="BB41" s="177">
        <v>22096</v>
      </c>
      <c r="BC41" s="177">
        <v>66828</v>
      </c>
      <c r="BD41" s="177">
        <v>22123</v>
      </c>
      <c r="BE41" s="177">
        <v>22969</v>
      </c>
      <c r="BF41" s="179">
        <v>75547</v>
      </c>
      <c r="BG41" s="177">
        <v>251</v>
      </c>
      <c r="BH41" s="177">
        <v>284</v>
      </c>
      <c r="BI41" s="177">
        <v>5931</v>
      </c>
      <c r="BJ41" s="177">
        <v>2418</v>
      </c>
      <c r="BK41" s="177">
        <v>641</v>
      </c>
      <c r="BL41" s="177">
        <v>109</v>
      </c>
      <c r="BM41" s="177">
        <v>26118</v>
      </c>
      <c r="BN41" s="177">
        <v>13577</v>
      </c>
      <c r="BO41" s="177">
        <v>238</v>
      </c>
      <c r="BP41" s="177">
        <v>12015</v>
      </c>
      <c r="BQ41" s="177">
        <v>10588</v>
      </c>
      <c r="BR41" s="179">
        <v>12864</v>
      </c>
      <c r="BS41" s="177">
        <v>634</v>
      </c>
      <c r="BT41" s="177">
        <v>30761</v>
      </c>
      <c r="BU41" s="177">
        <v>16291</v>
      </c>
      <c r="BV41" s="177">
        <v>33444</v>
      </c>
      <c r="BW41" s="177">
        <v>19795</v>
      </c>
      <c r="BX41" s="177">
        <v>32832</v>
      </c>
      <c r="BY41" s="177">
        <v>16130</v>
      </c>
      <c r="BZ41" s="177">
        <v>25930</v>
      </c>
      <c r="CA41" s="177">
        <v>17137</v>
      </c>
      <c r="CB41" s="179">
        <v>37143</v>
      </c>
      <c r="CC41" s="177">
        <v>29864</v>
      </c>
      <c r="CD41" s="177">
        <v>6411</v>
      </c>
      <c r="CE41" s="177">
        <v>13578</v>
      </c>
      <c r="CF41" s="177">
        <v>2044</v>
      </c>
      <c r="CG41" s="177">
        <v>52787</v>
      </c>
      <c r="CH41" s="177">
        <v>92948</v>
      </c>
      <c r="CI41" s="177">
        <v>25914</v>
      </c>
      <c r="CJ41" s="177">
        <v>142871</v>
      </c>
      <c r="CK41" s="178">
        <v>38534</v>
      </c>
      <c r="CL41" s="180">
        <v>1030126</v>
      </c>
    </row>
    <row r="42" spans="1:90">
      <c r="A42" s="93">
        <f>ROWS($A$3:A40)</f>
        <v>38</v>
      </c>
      <c r="B42" s="106" t="s">
        <v>15</v>
      </c>
      <c r="C42" s="243"/>
      <c r="D42" s="314" t="s">
        <v>8</v>
      </c>
      <c r="E42" s="316">
        <v>40648</v>
      </c>
      <c r="F42" s="156">
        <v>104503</v>
      </c>
      <c r="G42" s="177">
        <v>24751</v>
      </c>
      <c r="H42" s="177">
        <v>68995</v>
      </c>
      <c r="I42" s="178">
        <v>163923</v>
      </c>
      <c r="J42" s="181"/>
      <c r="K42" s="156">
        <f t="shared" si="74"/>
        <v>25496</v>
      </c>
      <c r="L42" s="177">
        <f t="shared" si="75"/>
        <v>7065</v>
      </c>
      <c r="M42" s="177">
        <f t="shared" si="76"/>
        <v>7456</v>
      </c>
      <c r="N42" s="177">
        <f t="shared" si="77"/>
        <v>10614</v>
      </c>
      <c r="O42" s="177">
        <f t="shared" si="78"/>
        <v>8093</v>
      </c>
      <c r="P42" s="177">
        <f>AZ42+BA42</f>
        <v>4994</v>
      </c>
      <c r="Q42" s="177">
        <f>'2007'!AU42</f>
        <v>3043</v>
      </c>
      <c r="R42" s="177">
        <f>AT42+AX42</f>
        <v>5094</v>
      </c>
      <c r="S42" s="177">
        <f t="shared" si="79"/>
        <v>2818</v>
      </c>
      <c r="T42" s="177">
        <f t="shared" si="80"/>
        <v>7498</v>
      </c>
      <c r="U42" s="179">
        <f t="shared" si="81"/>
        <v>22332</v>
      </c>
      <c r="V42" s="177">
        <f>BJ42</f>
        <v>433</v>
      </c>
      <c r="W42" s="177">
        <f t="shared" si="82"/>
        <v>3970</v>
      </c>
      <c r="X42" s="177">
        <f>BI42</f>
        <v>1380</v>
      </c>
      <c r="Y42" s="177">
        <f>BK42+BN42</f>
        <v>4039</v>
      </c>
      <c r="Z42" s="177">
        <f t="shared" si="83"/>
        <v>8374</v>
      </c>
      <c r="AA42" s="177">
        <f>BO42+BQ42</f>
        <v>2939</v>
      </c>
      <c r="AB42" s="179">
        <f t="shared" si="84"/>
        <v>3616</v>
      </c>
      <c r="AC42" s="177">
        <f t="shared" si="85"/>
        <v>12135</v>
      </c>
      <c r="AD42" s="177">
        <f t="shared" si="86"/>
        <v>3789</v>
      </c>
      <c r="AE42" s="177">
        <f>BS42+BT42</f>
        <v>10475</v>
      </c>
      <c r="AF42" s="177">
        <f t="shared" si="87"/>
        <v>3844</v>
      </c>
      <c r="AG42" s="177">
        <f t="shared" si="88"/>
        <v>8744</v>
      </c>
      <c r="AH42" s="177">
        <f t="shared" si="89"/>
        <v>9165</v>
      </c>
      <c r="AI42" s="177">
        <f t="shared" si="90"/>
        <v>5396</v>
      </c>
      <c r="AJ42" s="177">
        <f t="shared" si="91"/>
        <v>5263</v>
      </c>
      <c r="AK42" s="179">
        <f t="shared" si="92"/>
        <v>10184</v>
      </c>
      <c r="AL42" s="177">
        <f t="shared" si="93"/>
        <v>3182</v>
      </c>
      <c r="AM42" s="177">
        <f t="shared" si="94"/>
        <v>35723</v>
      </c>
      <c r="AN42" s="177">
        <f t="shared" si="95"/>
        <v>70319</v>
      </c>
      <c r="AO42" s="177">
        <f t="shared" si="96"/>
        <v>8690</v>
      </c>
      <c r="AP42" s="177">
        <f t="shared" si="97"/>
        <v>1744</v>
      </c>
      <c r="AQ42" s="177">
        <f t="shared" si="98"/>
        <v>13437</v>
      </c>
      <c r="AR42" s="177">
        <f t="shared" si="99"/>
        <v>11086</v>
      </c>
      <c r="AS42" s="178">
        <f>CF42+CG42</f>
        <v>19742</v>
      </c>
      <c r="AT42" s="181">
        <v>415</v>
      </c>
      <c r="AU42" s="181">
        <v>3043</v>
      </c>
      <c r="AV42" s="181">
        <v>2818</v>
      </c>
      <c r="AW42" s="181">
        <v>10614</v>
      </c>
      <c r="AX42" s="181">
        <v>4679</v>
      </c>
      <c r="AY42" s="177">
        <v>7065</v>
      </c>
      <c r="AZ42" s="177">
        <v>128</v>
      </c>
      <c r="BA42" s="177">
        <v>4866</v>
      </c>
      <c r="BB42" s="177">
        <v>7498</v>
      </c>
      <c r="BC42" s="177">
        <v>22332</v>
      </c>
      <c r="BD42" s="177">
        <v>7456</v>
      </c>
      <c r="BE42" s="177">
        <v>8093</v>
      </c>
      <c r="BF42" s="179">
        <v>25496</v>
      </c>
      <c r="BG42" s="177" t="s">
        <v>252</v>
      </c>
      <c r="BH42" s="177" t="s">
        <v>252</v>
      </c>
      <c r="BI42" s="177">
        <v>1380</v>
      </c>
      <c r="BJ42" s="177">
        <v>433</v>
      </c>
      <c r="BK42" s="177">
        <v>200</v>
      </c>
      <c r="BL42" s="177" t="s">
        <v>252</v>
      </c>
      <c r="BM42" s="177">
        <v>8374</v>
      </c>
      <c r="BN42" s="177">
        <v>3839</v>
      </c>
      <c r="BO42" s="177">
        <v>71</v>
      </c>
      <c r="BP42" s="177">
        <v>3616</v>
      </c>
      <c r="BQ42" s="177">
        <v>2868</v>
      </c>
      <c r="BR42" s="179">
        <v>3970</v>
      </c>
      <c r="BS42" s="177">
        <v>96</v>
      </c>
      <c r="BT42" s="177">
        <v>10379</v>
      </c>
      <c r="BU42" s="177">
        <v>3789</v>
      </c>
      <c r="BV42" s="177">
        <v>8744</v>
      </c>
      <c r="BW42" s="177">
        <v>5396</v>
      </c>
      <c r="BX42" s="177">
        <v>12135</v>
      </c>
      <c r="BY42" s="177">
        <v>5263</v>
      </c>
      <c r="BZ42" s="177">
        <v>9165</v>
      </c>
      <c r="CA42" s="177">
        <v>3844</v>
      </c>
      <c r="CB42" s="179">
        <v>10184</v>
      </c>
      <c r="CC42" s="177">
        <v>8690</v>
      </c>
      <c r="CD42" s="177">
        <v>1744</v>
      </c>
      <c r="CE42" s="177">
        <v>3182</v>
      </c>
      <c r="CF42" s="177">
        <v>844</v>
      </c>
      <c r="CG42" s="177">
        <v>18898</v>
      </c>
      <c r="CH42" s="177">
        <v>35723</v>
      </c>
      <c r="CI42" s="177">
        <v>11086</v>
      </c>
      <c r="CJ42" s="177">
        <v>70319</v>
      </c>
      <c r="CK42" s="178">
        <v>13437</v>
      </c>
      <c r="CL42" s="180">
        <v>362212</v>
      </c>
    </row>
    <row r="43" spans="1:90">
      <c r="A43" s="93">
        <f>ROWS($A$3:A41)</f>
        <v>39</v>
      </c>
      <c r="B43" s="106" t="s">
        <v>253</v>
      </c>
      <c r="C43" s="243"/>
      <c r="D43" s="314" t="s">
        <v>8</v>
      </c>
      <c r="E43" s="316">
        <v>40648</v>
      </c>
      <c r="F43" s="156">
        <v>15305</v>
      </c>
      <c r="G43" s="177">
        <v>7226</v>
      </c>
      <c r="H43" s="177">
        <v>23938</v>
      </c>
      <c r="I43" s="178">
        <v>12037</v>
      </c>
      <c r="J43" s="181"/>
      <c r="K43" s="156">
        <f t="shared" si="74"/>
        <v>3932</v>
      </c>
      <c r="L43" s="177">
        <f t="shared" si="75"/>
        <v>1614</v>
      </c>
      <c r="M43" s="177">
        <f t="shared" si="76"/>
        <v>730</v>
      </c>
      <c r="N43" s="177">
        <f t="shared" si="77"/>
        <v>1728</v>
      </c>
      <c r="O43" s="177">
        <f t="shared" si="78"/>
        <v>566</v>
      </c>
      <c r="P43" s="177">
        <f>BA43</f>
        <v>744</v>
      </c>
      <c r="Q43" s="177">
        <f>'2007'!AU43</f>
        <v>659</v>
      </c>
      <c r="R43" s="177">
        <f>AX43</f>
        <v>239</v>
      </c>
      <c r="S43" s="177">
        <f t="shared" si="79"/>
        <v>804</v>
      </c>
      <c r="T43" s="177">
        <f t="shared" si="80"/>
        <v>1123</v>
      </c>
      <c r="U43" s="179">
        <f t="shared" si="81"/>
        <v>3166</v>
      </c>
      <c r="V43" s="177">
        <f>BG43+BJ43</f>
        <v>569</v>
      </c>
      <c r="W43" s="177">
        <f t="shared" si="82"/>
        <v>1121</v>
      </c>
      <c r="X43" s="177">
        <f>BI43</f>
        <v>866</v>
      </c>
      <c r="Y43" s="177">
        <f>BL43+BN43</f>
        <v>1143</v>
      </c>
      <c r="Z43" s="177">
        <f t="shared" si="83"/>
        <v>1398</v>
      </c>
      <c r="AA43" s="177">
        <f>BQ43</f>
        <v>902</v>
      </c>
      <c r="AB43" s="179">
        <f t="shared" si="84"/>
        <v>1204</v>
      </c>
      <c r="AC43" s="177">
        <f t="shared" si="85"/>
        <v>2323</v>
      </c>
      <c r="AD43" s="177">
        <f t="shared" si="86"/>
        <v>2398</v>
      </c>
      <c r="AE43" s="177">
        <f>BS43+BT43</f>
        <v>3484</v>
      </c>
      <c r="AF43" s="177">
        <f t="shared" si="87"/>
        <v>2762</v>
      </c>
      <c r="AG43" s="177">
        <f t="shared" si="88"/>
        <v>4418</v>
      </c>
      <c r="AH43" s="177">
        <f t="shared" si="89"/>
        <v>1158</v>
      </c>
      <c r="AI43" s="177">
        <f t="shared" si="90"/>
        <v>1784</v>
      </c>
      <c r="AJ43" s="177">
        <f t="shared" si="91"/>
        <v>1334</v>
      </c>
      <c r="AK43" s="179">
        <f t="shared" si="92"/>
        <v>4277</v>
      </c>
      <c r="AL43" s="177">
        <f t="shared" si="93"/>
        <v>1853</v>
      </c>
      <c r="AM43" s="177">
        <f t="shared" si="94"/>
        <v>1899</v>
      </c>
      <c r="AN43" s="177">
        <f t="shared" si="95"/>
        <v>2042</v>
      </c>
      <c r="AO43" s="177">
        <f t="shared" si="96"/>
        <v>1470</v>
      </c>
      <c r="AP43" s="177" t="str">
        <f t="shared" si="97"/>
        <v>*</v>
      </c>
      <c r="AQ43" s="177">
        <f t="shared" si="98"/>
        <v>2185</v>
      </c>
      <c r="AR43" s="177">
        <f t="shared" si="99"/>
        <v>996</v>
      </c>
      <c r="AS43" s="178">
        <f>CG43</f>
        <v>1592</v>
      </c>
      <c r="AT43" s="177" t="s">
        <v>252</v>
      </c>
      <c r="AU43" s="181">
        <v>659</v>
      </c>
      <c r="AV43" s="181">
        <v>804</v>
      </c>
      <c r="AW43" s="181">
        <v>1728</v>
      </c>
      <c r="AX43" s="181">
        <v>239</v>
      </c>
      <c r="AY43" s="177">
        <v>1614</v>
      </c>
      <c r="AZ43" s="177" t="s">
        <v>252</v>
      </c>
      <c r="BA43" s="177">
        <v>744</v>
      </c>
      <c r="BB43" s="177">
        <v>1123</v>
      </c>
      <c r="BC43" s="177">
        <v>3166</v>
      </c>
      <c r="BD43" s="177">
        <v>730</v>
      </c>
      <c r="BE43" s="177">
        <v>566</v>
      </c>
      <c r="BF43" s="179">
        <v>3932</v>
      </c>
      <c r="BG43" s="177">
        <v>82</v>
      </c>
      <c r="BH43" s="177">
        <v>23</v>
      </c>
      <c r="BI43" s="177">
        <v>866</v>
      </c>
      <c r="BJ43" s="177">
        <v>487</v>
      </c>
      <c r="BK43" s="177" t="s">
        <v>252</v>
      </c>
      <c r="BL43" s="177">
        <v>20</v>
      </c>
      <c r="BM43" s="177">
        <v>1398</v>
      </c>
      <c r="BN43" s="177">
        <v>1123</v>
      </c>
      <c r="BO43" s="177" t="s">
        <v>252</v>
      </c>
      <c r="BP43" s="177">
        <v>1204</v>
      </c>
      <c r="BQ43" s="177">
        <v>902</v>
      </c>
      <c r="BR43" s="179">
        <v>1121</v>
      </c>
      <c r="BS43" s="177">
        <v>81</v>
      </c>
      <c r="BT43" s="177">
        <v>3403</v>
      </c>
      <c r="BU43" s="177">
        <v>2398</v>
      </c>
      <c r="BV43" s="177">
        <v>4418</v>
      </c>
      <c r="BW43" s="177">
        <v>1784</v>
      </c>
      <c r="BX43" s="177">
        <v>2323</v>
      </c>
      <c r="BY43" s="177">
        <v>1334</v>
      </c>
      <c r="BZ43" s="177">
        <v>1158</v>
      </c>
      <c r="CA43" s="177">
        <v>2762</v>
      </c>
      <c r="CB43" s="179">
        <v>4277</v>
      </c>
      <c r="CC43" s="177">
        <v>1470</v>
      </c>
      <c r="CD43" s="177" t="s">
        <v>252</v>
      </c>
      <c r="CE43" s="177">
        <v>1853</v>
      </c>
      <c r="CF43" s="177" t="s">
        <v>252</v>
      </c>
      <c r="CG43" s="177">
        <v>1592</v>
      </c>
      <c r="CH43" s="177">
        <v>1899</v>
      </c>
      <c r="CI43" s="177">
        <v>996</v>
      </c>
      <c r="CJ43" s="177">
        <v>2042</v>
      </c>
      <c r="CK43" s="178">
        <v>2185</v>
      </c>
      <c r="CL43" s="180">
        <v>59249</v>
      </c>
    </row>
    <row r="44" spans="1:90">
      <c r="A44" s="93">
        <f>ROWS($A$3:A42)</f>
        <v>40</v>
      </c>
      <c r="B44" s="62" t="s">
        <v>21</v>
      </c>
      <c r="C44" s="312"/>
      <c r="D44" s="314" t="s">
        <v>260</v>
      </c>
      <c r="E44" s="316">
        <v>40648</v>
      </c>
      <c r="F44" s="156">
        <v>28</v>
      </c>
      <c r="G44" s="177">
        <v>29</v>
      </c>
      <c r="H44" s="177">
        <v>21</v>
      </c>
      <c r="I44" s="178">
        <v>34</v>
      </c>
      <c r="J44" s="181"/>
      <c r="K44" s="156">
        <f t="shared" si="74"/>
        <v>29</v>
      </c>
      <c r="L44" s="177">
        <f t="shared" si="75"/>
        <v>23</v>
      </c>
      <c r="M44" s="177">
        <f t="shared" si="76"/>
        <v>23</v>
      </c>
      <c r="N44" s="177">
        <f t="shared" si="77"/>
        <v>31</v>
      </c>
      <c r="O44" s="177">
        <f t="shared" si="78"/>
        <v>34</v>
      </c>
      <c r="P44" s="183">
        <f>(AZ42*AZ44+BA42*BA44)/P42</f>
        <v>30.7436924309171</v>
      </c>
      <c r="Q44" s="177">
        <f>'2007'!AU44</f>
        <v>30</v>
      </c>
      <c r="R44" s="183">
        <f>(AT42*AT44+AX42*AX44)/R42</f>
        <v>27.244405182567728</v>
      </c>
      <c r="S44" s="177">
        <f t="shared" si="79"/>
        <v>22</v>
      </c>
      <c r="T44" s="177">
        <f t="shared" si="80"/>
        <v>28</v>
      </c>
      <c r="U44" s="179">
        <f t="shared" si="81"/>
        <v>28</v>
      </c>
      <c r="V44" s="183">
        <f>(BJ42*BJ44)/V42</f>
        <v>20</v>
      </c>
      <c r="W44" s="177">
        <f t="shared" si="82"/>
        <v>24</v>
      </c>
      <c r="X44" s="183">
        <f>(BI42*BI44)/X42</f>
        <v>35</v>
      </c>
      <c r="Y44" s="183">
        <f>(BK42*BK44+BN42*BN44)/Y42</f>
        <v>35.653379549393414</v>
      </c>
      <c r="Z44" s="177">
        <f t="shared" si="83"/>
        <v>31</v>
      </c>
      <c r="AA44" s="183">
        <f>(BQ42*BQ44)/AA42</f>
        <v>33.178632187818984</v>
      </c>
      <c r="AB44" s="179">
        <f t="shared" si="84"/>
        <v>23</v>
      </c>
      <c r="AC44" s="177">
        <f t="shared" si="85"/>
        <v>23</v>
      </c>
      <c r="AD44" s="177">
        <f t="shared" si="86"/>
        <v>15</v>
      </c>
      <c r="AE44" s="183">
        <f>(BS42*BS44+BT42*BT44)/AE42</f>
        <v>19.963341288782818</v>
      </c>
      <c r="AF44" s="177">
        <f t="shared" si="87"/>
        <v>17</v>
      </c>
      <c r="AG44" s="177">
        <f t="shared" si="88"/>
        <v>13</v>
      </c>
      <c r="AH44" s="177">
        <f t="shared" si="89"/>
        <v>35</v>
      </c>
      <c r="AI44" s="177">
        <f t="shared" si="90"/>
        <v>19</v>
      </c>
      <c r="AJ44" s="177">
        <f t="shared" si="91"/>
        <v>33</v>
      </c>
      <c r="AK44" s="179">
        <f t="shared" si="92"/>
        <v>23</v>
      </c>
      <c r="AL44" s="177">
        <f t="shared" si="93"/>
        <v>35</v>
      </c>
      <c r="AM44" s="177">
        <f t="shared" si="94"/>
        <v>36</v>
      </c>
      <c r="AN44" s="177">
        <f t="shared" si="95"/>
        <v>39</v>
      </c>
      <c r="AO44" s="177">
        <f t="shared" si="96"/>
        <v>29</v>
      </c>
      <c r="AP44" s="177">
        <f t="shared" si="97"/>
        <v>34</v>
      </c>
      <c r="AQ44" s="177">
        <f t="shared" si="98"/>
        <v>30</v>
      </c>
      <c r="AR44" s="177">
        <f t="shared" si="99"/>
        <v>29</v>
      </c>
      <c r="AS44" s="184">
        <f>(CF42*CF44+CG42*CG44)/AS42</f>
        <v>29.128254482828488</v>
      </c>
      <c r="AT44" s="177">
        <v>30</v>
      </c>
      <c r="AU44" s="177">
        <v>30</v>
      </c>
      <c r="AV44" s="177">
        <v>22</v>
      </c>
      <c r="AW44" s="177">
        <v>31</v>
      </c>
      <c r="AX44" s="177">
        <v>27</v>
      </c>
      <c r="AY44" s="177">
        <v>23</v>
      </c>
      <c r="AZ44" s="177">
        <v>21</v>
      </c>
      <c r="BA44" s="177">
        <v>31</v>
      </c>
      <c r="BB44" s="177">
        <v>28</v>
      </c>
      <c r="BC44" s="177">
        <v>28</v>
      </c>
      <c r="BD44" s="177">
        <v>23</v>
      </c>
      <c r="BE44" s="177">
        <v>34</v>
      </c>
      <c r="BF44" s="179">
        <v>29</v>
      </c>
      <c r="BG44" s="177" t="s">
        <v>252</v>
      </c>
      <c r="BH44" s="177" t="s">
        <v>252</v>
      </c>
      <c r="BI44" s="177">
        <v>35</v>
      </c>
      <c r="BJ44" s="177">
        <v>20</v>
      </c>
      <c r="BK44" s="177">
        <v>29</v>
      </c>
      <c r="BL44" s="177" t="s">
        <v>252</v>
      </c>
      <c r="BM44" s="177">
        <v>31</v>
      </c>
      <c r="BN44" s="177">
        <v>36</v>
      </c>
      <c r="BO44" s="177">
        <v>24</v>
      </c>
      <c r="BP44" s="177">
        <v>23</v>
      </c>
      <c r="BQ44" s="177">
        <v>34</v>
      </c>
      <c r="BR44" s="179">
        <v>24</v>
      </c>
      <c r="BS44" s="177">
        <v>16</v>
      </c>
      <c r="BT44" s="177">
        <v>20</v>
      </c>
      <c r="BU44" s="177">
        <v>15</v>
      </c>
      <c r="BV44" s="177">
        <v>13</v>
      </c>
      <c r="BW44" s="177">
        <v>19</v>
      </c>
      <c r="BX44" s="177">
        <v>23</v>
      </c>
      <c r="BY44" s="177">
        <v>33</v>
      </c>
      <c r="BZ44" s="177">
        <v>35</v>
      </c>
      <c r="CA44" s="177">
        <v>17</v>
      </c>
      <c r="CB44" s="179">
        <v>23</v>
      </c>
      <c r="CC44" s="177">
        <v>29</v>
      </c>
      <c r="CD44" s="177">
        <v>34</v>
      </c>
      <c r="CE44" s="177">
        <v>35</v>
      </c>
      <c r="CF44" s="177">
        <v>32</v>
      </c>
      <c r="CG44" s="177">
        <v>29</v>
      </c>
      <c r="CH44" s="177">
        <v>36</v>
      </c>
      <c r="CI44" s="177">
        <v>29</v>
      </c>
      <c r="CJ44" s="177">
        <v>39</v>
      </c>
      <c r="CK44" s="178">
        <v>30</v>
      </c>
      <c r="CL44" s="180">
        <v>29</v>
      </c>
    </row>
    <row r="45" spans="1:90">
      <c r="A45" s="93">
        <f>ROWS($A$3:A43)</f>
        <v>41</v>
      </c>
      <c r="B45" s="106" t="s">
        <v>79</v>
      </c>
      <c r="C45" s="242">
        <v>2007</v>
      </c>
      <c r="D45" s="314" t="s">
        <v>8</v>
      </c>
      <c r="E45" s="316">
        <v>40652</v>
      </c>
      <c r="F45" s="156">
        <v>1180197</v>
      </c>
      <c r="G45" s="177">
        <v>127805</v>
      </c>
      <c r="H45" s="177">
        <v>180992</v>
      </c>
      <c r="I45" s="178">
        <v>746925</v>
      </c>
      <c r="J45" s="181"/>
      <c r="K45" s="156">
        <f t="shared" si="74"/>
        <v>140592</v>
      </c>
      <c r="L45" s="177">
        <f t="shared" si="75"/>
        <v>19474</v>
      </c>
      <c r="M45" s="177">
        <f t="shared" si="76"/>
        <v>160206</v>
      </c>
      <c r="N45" s="177">
        <f t="shared" si="77"/>
        <v>28195</v>
      </c>
      <c r="O45" s="177">
        <f t="shared" si="78"/>
        <v>50959</v>
      </c>
      <c r="P45" s="177">
        <f>BA45</f>
        <v>36359</v>
      </c>
      <c r="Q45" s="177">
        <f>'2007'!AU45</f>
        <v>20889</v>
      </c>
      <c r="R45" s="177">
        <f>AX45</f>
        <v>42918</v>
      </c>
      <c r="S45" s="177">
        <f t="shared" si="79"/>
        <v>8426</v>
      </c>
      <c r="T45" s="177">
        <f t="shared" si="80"/>
        <v>194362</v>
      </c>
      <c r="U45" s="179">
        <f t="shared" si="81"/>
        <v>477817</v>
      </c>
      <c r="V45" s="177">
        <f>BJ45</f>
        <v>7440</v>
      </c>
      <c r="W45" s="177">
        <f t="shared" si="82"/>
        <v>14753</v>
      </c>
      <c r="X45" s="177">
        <f>BH45+BI45</f>
        <v>13037</v>
      </c>
      <c r="Y45" s="177">
        <f>BK45+BL45+BN45</f>
        <v>33131</v>
      </c>
      <c r="Z45" s="177">
        <f t="shared" si="83"/>
        <v>43654</v>
      </c>
      <c r="AA45" s="177">
        <f>BQ45</f>
        <v>8295</v>
      </c>
      <c r="AB45" s="179">
        <f t="shared" si="84"/>
        <v>8817</v>
      </c>
      <c r="AC45" s="177">
        <f t="shared" si="85"/>
        <v>24208</v>
      </c>
      <c r="AD45" s="177">
        <f t="shared" si="86"/>
        <v>7935</v>
      </c>
      <c r="AE45" s="177">
        <f>BS45+BT45</f>
        <v>10268</v>
      </c>
      <c r="AF45" s="177">
        <f t="shared" si="87"/>
        <v>4880</v>
      </c>
      <c r="AG45" s="177">
        <f t="shared" si="88"/>
        <v>38468</v>
      </c>
      <c r="AH45" s="177">
        <f t="shared" si="89"/>
        <v>22788</v>
      </c>
      <c r="AI45" s="177">
        <f t="shared" si="90"/>
        <v>39860</v>
      </c>
      <c r="AJ45" s="177">
        <f t="shared" si="91"/>
        <v>12198</v>
      </c>
      <c r="AK45" s="179">
        <f t="shared" si="92"/>
        <v>20387</v>
      </c>
      <c r="AL45" s="177">
        <f t="shared" si="93"/>
        <v>11586</v>
      </c>
      <c r="AM45" s="177">
        <f t="shared" si="94"/>
        <v>174636</v>
      </c>
      <c r="AN45" s="177">
        <f t="shared" si="95"/>
        <v>64349</v>
      </c>
      <c r="AO45" s="177">
        <f t="shared" si="96"/>
        <v>35347</v>
      </c>
      <c r="AP45" s="177">
        <f t="shared" si="97"/>
        <v>15667</v>
      </c>
      <c r="AQ45" s="177">
        <f t="shared" si="98"/>
        <v>109636</v>
      </c>
      <c r="AR45" s="177">
        <f t="shared" si="99"/>
        <v>21765</v>
      </c>
      <c r="AS45" s="178">
        <f>CF45+CG45</f>
        <v>313939</v>
      </c>
      <c r="AT45" s="177" t="s">
        <v>252</v>
      </c>
      <c r="AU45" s="181">
        <v>20889</v>
      </c>
      <c r="AV45" s="181">
        <v>8426</v>
      </c>
      <c r="AW45" s="181">
        <v>28195</v>
      </c>
      <c r="AX45" s="181">
        <v>42918</v>
      </c>
      <c r="AY45" s="177">
        <v>19474</v>
      </c>
      <c r="AZ45" s="177" t="s">
        <v>252</v>
      </c>
      <c r="BA45" s="177">
        <v>36359</v>
      </c>
      <c r="BB45" s="177">
        <v>194362</v>
      </c>
      <c r="BC45" s="177">
        <v>477817</v>
      </c>
      <c r="BD45" s="177">
        <v>160206</v>
      </c>
      <c r="BE45" s="177">
        <v>50959</v>
      </c>
      <c r="BF45" s="179">
        <v>140592</v>
      </c>
      <c r="BG45" s="177" t="s">
        <v>252</v>
      </c>
      <c r="BH45" s="177">
        <v>1322</v>
      </c>
      <c r="BI45" s="177">
        <v>11715</v>
      </c>
      <c r="BJ45" s="177">
        <v>7440</v>
      </c>
      <c r="BK45" s="177">
        <v>792</v>
      </c>
      <c r="BL45" s="177">
        <v>841</v>
      </c>
      <c r="BM45" s="177">
        <v>43654</v>
      </c>
      <c r="BN45" s="177">
        <v>31498</v>
      </c>
      <c r="BO45" s="177" t="s">
        <v>252</v>
      </c>
      <c r="BP45" s="177">
        <v>8817</v>
      </c>
      <c r="BQ45" s="177">
        <v>8295</v>
      </c>
      <c r="BR45" s="179">
        <v>14753</v>
      </c>
      <c r="BS45" s="177">
        <v>411</v>
      </c>
      <c r="BT45" s="177">
        <v>9857</v>
      </c>
      <c r="BU45" s="177">
        <v>7935</v>
      </c>
      <c r="BV45" s="177">
        <v>38468</v>
      </c>
      <c r="BW45" s="177">
        <v>39860</v>
      </c>
      <c r="BX45" s="177">
        <v>24208</v>
      </c>
      <c r="BY45" s="177">
        <v>12198</v>
      </c>
      <c r="BZ45" s="177">
        <v>22788</v>
      </c>
      <c r="CA45" s="177">
        <v>4880</v>
      </c>
      <c r="CB45" s="179">
        <v>20387</v>
      </c>
      <c r="CC45" s="177">
        <v>35347</v>
      </c>
      <c r="CD45" s="177">
        <v>15667</v>
      </c>
      <c r="CE45" s="177">
        <v>11586</v>
      </c>
      <c r="CF45" s="177">
        <v>21147</v>
      </c>
      <c r="CG45" s="177">
        <v>292792</v>
      </c>
      <c r="CH45" s="177">
        <v>174636</v>
      </c>
      <c r="CI45" s="177">
        <v>21765</v>
      </c>
      <c r="CJ45" s="177">
        <v>64349</v>
      </c>
      <c r="CK45" s="178">
        <v>109636</v>
      </c>
      <c r="CL45" s="180">
        <v>2238322</v>
      </c>
    </row>
    <row r="46" spans="1:90">
      <c r="A46" s="93">
        <f>ROWS($A$3:A44)</f>
        <v>42</v>
      </c>
      <c r="B46" s="106" t="s">
        <v>9</v>
      </c>
      <c r="C46" s="243"/>
      <c r="D46" s="314" t="s">
        <v>8</v>
      </c>
      <c r="E46" s="316">
        <v>40652</v>
      </c>
      <c r="F46" s="156">
        <v>161288</v>
      </c>
      <c r="G46" s="177">
        <v>11514</v>
      </c>
      <c r="H46" s="177">
        <v>15185</v>
      </c>
      <c r="I46" s="178">
        <v>83191</v>
      </c>
      <c r="J46" s="181"/>
      <c r="K46" s="156">
        <f t="shared" si="74"/>
        <v>20873</v>
      </c>
      <c r="L46" s="177">
        <f t="shared" si="75"/>
        <v>1661</v>
      </c>
      <c r="M46" s="177">
        <f t="shared" si="76"/>
        <v>23900</v>
      </c>
      <c r="N46" s="177">
        <f t="shared" si="77"/>
        <v>1821</v>
      </c>
      <c r="O46" s="177">
        <f t="shared" si="78"/>
        <v>5178</v>
      </c>
      <c r="P46" s="177">
        <f>BA46</f>
        <v>3905</v>
      </c>
      <c r="Q46" s="177">
        <f>'2007'!AU46</f>
        <v>2440</v>
      </c>
      <c r="R46" s="177">
        <f>AX46</f>
        <v>3610</v>
      </c>
      <c r="S46" s="177">
        <f t="shared" si="79"/>
        <v>545</v>
      </c>
      <c r="T46" s="177">
        <f t="shared" si="80"/>
        <v>29758</v>
      </c>
      <c r="U46" s="179">
        <f t="shared" si="81"/>
        <v>67597</v>
      </c>
      <c r="V46" s="177">
        <f>BJ46</f>
        <v>615</v>
      </c>
      <c r="W46" s="177">
        <f t="shared" si="82"/>
        <v>1828</v>
      </c>
      <c r="X46" s="177">
        <f>BI46</f>
        <v>1077</v>
      </c>
      <c r="Y46" s="177">
        <f>BL46+BN46</f>
        <v>2582</v>
      </c>
      <c r="Z46" s="177">
        <f t="shared" si="83"/>
        <v>4450</v>
      </c>
      <c r="AA46" s="177">
        <f>BQ46</f>
        <v>408</v>
      </c>
      <c r="AB46" s="179">
        <f t="shared" si="84"/>
        <v>554</v>
      </c>
      <c r="AC46" s="177">
        <f t="shared" si="85"/>
        <v>1807</v>
      </c>
      <c r="AD46" s="177">
        <f t="shared" si="86"/>
        <v>614</v>
      </c>
      <c r="AE46" s="177">
        <f>BT46</f>
        <v>745</v>
      </c>
      <c r="AF46" s="177" t="str">
        <f t="shared" si="87"/>
        <v>*</v>
      </c>
      <c r="AG46" s="177">
        <f t="shared" si="88"/>
        <v>4152</v>
      </c>
      <c r="AH46" s="177">
        <f t="shared" si="89"/>
        <v>1541</v>
      </c>
      <c r="AI46" s="177">
        <f t="shared" si="90"/>
        <v>3227</v>
      </c>
      <c r="AJ46" s="177">
        <f t="shared" si="91"/>
        <v>1096</v>
      </c>
      <c r="AK46" s="179">
        <f t="shared" si="92"/>
        <v>2003</v>
      </c>
      <c r="AL46" s="177">
        <f t="shared" si="93"/>
        <v>850</v>
      </c>
      <c r="AM46" s="177">
        <f t="shared" si="94"/>
        <v>19510</v>
      </c>
      <c r="AN46" s="177">
        <f t="shared" si="95"/>
        <v>7843</v>
      </c>
      <c r="AO46" s="177">
        <f t="shared" si="96"/>
        <v>4324</v>
      </c>
      <c r="AP46" s="177">
        <f t="shared" si="97"/>
        <v>988</v>
      </c>
      <c r="AQ46" s="177">
        <f t="shared" si="98"/>
        <v>12657</v>
      </c>
      <c r="AR46" s="177">
        <f t="shared" si="99"/>
        <v>1948</v>
      </c>
      <c r="AS46" s="178">
        <f>CF46+CG46</f>
        <v>35071</v>
      </c>
      <c r="AT46" s="177" t="s">
        <v>252</v>
      </c>
      <c r="AU46" s="181">
        <v>2440</v>
      </c>
      <c r="AV46" s="181">
        <v>545</v>
      </c>
      <c r="AW46" s="181">
        <v>1821</v>
      </c>
      <c r="AX46" s="181">
        <v>3610</v>
      </c>
      <c r="AY46" s="177">
        <v>1661</v>
      </c>
      <c r="AZ46" s="177" t="s">
        <v>252</v>
      </c>
      <c r="BA46" s="177">
        <v>3905</v>
      </c>
      <c r="BB46" s="177">
        <v>29758</v>
      </c>
      <c r="BC46" s="177">
        <v>67597</v>
      </c>
      <c r="BD46" s="177">
        <v>23900</v>
      </c>
      <c r="BE46" s="177">
        <v>5178</v>
      </c>
      <c r="BF46" s="179">
        <v>20873</v>
      </c>
      <c r="BG46" s="177" t="s">
        <v>252</v>
      </c>
      <c r="BH46" s="177">
        <v>163</v>
      </c>
      <c r="BI46" s="177">
        <v>1077</v>
      </c>
      <c r="BJ46" s="177">
        <v>615</v>
      </c>
      <c r="BK46" s="177" t="s">
        <v>252</v>
      </c>
      <c r="BL46" s="177">
        <v>0</v>
      </c>
      <c r="BM46" s="177">
        <v>4450</v>
      </c>
      <c r="BN46" s="177">
        <v>2582</v>
      </c>
      <c r="BO46" s="177" t="s">
        <v>252</v>
      </c>
      <c r="BP46" s="177">
        <v>554</v>
      </c>
      <c r="BQ46" s="177">
        <v>408</v>
      </c>
      <c r="BR46" s="179">
        <v>1828</v>
      </c>
      <c r="BS46" s="177" t="s">
        <v>252</v>
      </c>
      <c r="BT46" s="177">
        <v>745</v>
      </c>
      <c r="BU46" s="177">
        <v>614</v>
      </c>
      <c r="BV46" s="177">
        <v>4152</v>
      </c>
      <c r="BW46" s="177">
        <v>3227</v>
      </c>
      <c r="BX46" s="177">
        <v>1807</v>
      </c>
      <c r="BY46" s="177">
        <v>1096</v>
      </c>
      <c r="BZ46" s="177">
        <v>1541</v>
      </c>
      <c r="CA46" s="177" t="s">
        <v>252</v>
      </c>
      <c r="CB46" s="179">
        <v>2003</v>
      </c>
      <c r="CC46" s="177">
        <v>4324</v>
      </c>
      <c r="CD46" s="177">
        <v>988</v>
      </c>
      <c r="CE46" s="177">
        <v>850</v>
      </c>
      <c r="CF46" s="177">
        <v>1599</v>
      </c>
      <c r="CG46" s="177">
        <v>33472</v>
      </c>
      <c r="CH46" s="177">
        <v>19510</v>
      </c>
      <c r="CI46" s="177">
        <v>1948</v>
      </c>
      <c r="CJ46" s="177">
        <v>7843</v>
      </c>
      <c r="CK46" s="178">
        <v>12657</v>
      </c>
      <c r="CL46" s="180">
        <v>271854</v>
      </c>
    </row>
    <row r="47" spans="1:90">
      <c r="A47" s="93">
        <f>ROWS($A$3:A45)</f>
        <v>43</v>
      </c>
      <c r="B47" s="62" t="s">
        <v>20</v>
      </c>
      <c r="C47" s="312"/>
      <c r="D47" s="314" t="s">
        <v>260</v>
      </c>
      <c r="E47" s="316">
        <v>40652</v>
      </c>
      <c r="F47" s="156">
        <v>95</v>
      </c>
      <c r="G47" s="177">
        <v>57</v>
      </c>
      <c r="H47" s="177">
        <v>30</v>
      </c>
      <c r="I47" s="178">
        <v>92</v>
      </c>
      <c r="J47" s="181"/>
      <c r="K47" s="156">
        <f t="shared" si="74"/>
        <v>57</v>
      </c>
      <c r="L47" s="177">
        <f t="shared" si="75"/>
        <v>45</v>
      </c>
      <c r="M47" s="177">
        <f t="shared" si="76"/>
        <v>70</v>
      </c>
      <c r="N47" s="177">
        <f t="shared" si="77"/>
        <v>61</v>
      </c>
      <c r="O47" s="177">
        <f t="shared" si="78"/>
        <v>98</v>
      </c>
      <c r="P47" s="177">
        <f>BA47</f>
        <v>100</v>
      </c>
      <c r="Q47" s="177">
        <f>'2007'!AU47</f>
        <v>85</v>
      </c>
      <c r="R47" s="183" t="s">
        <v>252</v>
      </c>
      <c r="S47" s="177">
        <f t="shared" si="79"/>
        <v>38</v>
      </c>
      <c r="T47" s="177">
        <f t="shared" si="80"/>
        <v>134</v>
      </c>
      <c r="U47" s="179">
        <f t="shared" si="81"/>
        <v>132</v>
      </c>
      <c r="V47" s="183">
        <f>(BJ45*BJ47)/V45</f>
        <v>60</v>
      </c>
      <c r="W47" s="177">
        <f t="shared" si="82"/>
        <v>32</v>
      </c>
      <c r="X47" s="183">
        <f>(BH45*BH47+BI45*BI47)/X45</f>
        <v>57.23088133773107</v>
      </c>
      <c r="Y47" s="183">
        <f>(BL45*BL47+BN45*BN47)/Y45</f>
        <v>86.770909420180502</v>
      </c>
      <c r="Z47" s="177">
        <f t="shared" si="83"/>
        <v>72</v>
      </c>
      <c r="AA47" s="183">
        <f>(BQ45*BQ47)/AA45</f>
        <v>49</v>
      </c>
      <c r="AB47" s="179">
        <f t="shared" si="84"/>
        <v>26</v>
      </c>
      <c r="AC47" s="177">
        <f t="shared" si="85"/>
        <v>30</v>
      </c>
      <c r="AD47" s="177">
        <f t="shared" si="86"/>
        <v>16</v>
      </c>
      <c r="AE47" s="183">
        <f>(BS45*BS47+BT45*BT47)/AE45</f>
        <v>13.87991819244254</v>
      </c>
      <c r="AF47" s="177">
        <f t="shared" si="87"/>
        <v>24</v>
      </c>
      <c r="AG47" s="177">
        <f t="shared" si="88"/>
        <v>20</v>
      </c>
      <c r="AH47" s="177">
        <f t="shared" si="89"/>
        <v>70</v>
      </c>
      <c r="AI47" s="177">
        <f t="shared" si="90"/>
        <v>54</v>
      </c>
      <c r="AJ47" s="177">
        <f t="shared" si="91"/>
        <v>44</v>
      </c>
      <c r="AK47" s="179">
        <f t="shared" si="92"/>
        <v>27</v>
      </c>
      <c r="AL47" s="177">
        <f t="shared" si="93"/>
        <v>47</v>
      </c>
      <c r="AM47" s="177">
        <f t="shared" si="94"/>
        <v>103</v>
      </c>
      <c r="AN47" s="177">
        <f t="shared" si="95"/>
        <v>88</v>
      </c>
      <c r="AO47" s="177">
        <f t="shared" si="96"/>
        <v>36</v>
      </c>
      <c r="AP47" s="177">
        <f t="shared" si="97"/>
        <v>66</v>
      </c>
      <c r="AQ47" s="177">
        <f t="shared" si="98"/>
        <v>81</v>
      </c>
      <c r="AR47" s="177">
        <f t="shared" si="99"/>
        <v>68</v>
      </c>
      <c r="AS47" s="184">
        <f>(CF45*CF47+CG45*CG47)/AS45</f>
        <v>124.44577449759348</v>
      </c>
      <c r="AT47" s="177" t="s">
        <v>252</v>
      </c>
      <c r="AU47" s="177">
        <v>85</v>
      </c>
      <c r="AV47" s="177">
        <v>38</v>
      </c>
      <c r="AW47" s="177">
        <v>61</v>
      </c>
      <c r="AX47" s="177">
        <v>123</v>
      </c>
      <c r="AY47" s="177">
        <v>45</v>
      </c>
      <c r="AZ47" s="177" t="s">
        <v>252</v>
      </c>
      <c r="BA47" s="177">
        <v>100</v>
      </c>
      <c r="BB47" s="177">
        <v>134</v>
      </c>
      <c r="BC47" s="177">
        <v>132</v>
      </c>
      <c r="BD47" s="177">
        <v>70</v>
      </c>
      <c r="BE47" s="177">
        <v>98</v>
      </c>
      <c r="BF47" s="179">
        <v>57</v>
      </c>
      <c r="BG47" s="177">
        <v>0</v>
      </c>
      <c r="BH47" s="177">
        <v>77</v>
      </c>
      <c r="BI47" s="177">
        <v>55</v>
      </c>
      <c r="BJ47" s="177">
        <v>60</v>
      </c>
      <c r="BK47" s="177" t="s">
        <v>252</v>
      </c>
      <c r="BL47" s="177">
        <v>85</v>
      </c>
      <c r="BM47" s="177">
        <v>72</v>
      </c>
      <c r="BN47" s="177">
        <v>89</v>
      </c>
      <c r="BO47" s="177" t="s">
        <v>252</v>
      </c>
      <c r="BP47" s="177">
        <v>26</v>
      </c>
      <c r="BQ47" s="177">
        <v>49</v>
      </c>
      <c r="BR47" s="179">
        <v>32</v>
      </c>
      <c r="BS47" s="177">
        <v>11</v>
      </c>
      <c r="BT47" s="177">
        <v>14</v>
      </c>
      <c r="BU47" s="177">
        <v>16</v>
      </c>
      <c r="BV47" s="177">
        <v>20</v>
      </c>
      <c r="BW47" s="177">
        <v>54</v>
      </c>
      <c r="BX47" s="177">
        <v>30</v>
      </c>
      <c r="BY47" s="177">
        <v>44</v>
      </c>
      <c r="BZ47" s="177">
        <v>70</v>
      </c>
      <c r="CA47" s="177">
        <v>24</v>
      </c>
      <c r="CB47" s="179">
        <v>27</v>
      </c>
      <c r="CC47" s="177">
        <v>36</v>
      </c>
      <c r="CD47" s="177">
        <v>66</v>
      </c>
      <c r="CE47" s="177">
        <v>47</v>
      </c>
      <c r="CF47" s="177">
        <v>186</v>
      </c>
      <c r="CG47" s="177">
        <v>120</v>
      </c>
      <c r="CH47" s="177">
        <v>103</v>
      </c>
      <c r="CI47" s="177">
        <v>68</v>
      </c>
      <c r="CJ47" s="177">
        <v>88</v>
      </c>
      <c r="CK47" s="178">
        <v>81</v>
      </c>
      <c r="CL47" s="180">
        <v>74</v>
      </c>
    </row>
    <row r="48" spans="1:90">
      <c r="A48" s="93">
        <f>ROWS($A$3:A46)</f>
        <v>44</v>
      </c>
      <c r="B48" s="236" t="s">
        <v>258</v>
      </c>
      <c r="C48" s="242">
        <v>2007</v>
      </c>
      <c r="D48" s="314" t="s">
        <v>8</v>
      </c>
      <c r="E48" s="316">
        <v>40652</v>
      </c>
      <c r="F48" s="156">
        <v>21010</v>
      </c>
      <c r="G48" s="177">
        <v>12940</v>
      </c>
      <c r="H48" s="177">
        <v>15249</v>
      </c>
      <c r="I48" s="178">
        <v>18617</v>
      </c>
      <c r="J48" s="181"/>
      <c r="K48" s="156">
        <f t="shared" si="74"/>
        <v>3648</v>
      </c>
      <c r="L48" s="177">
        <f t="shared" si="75"/>
        <v>2101</v>
      </c>
      <c r="M48" s="177">
        <f t="shared" si="76"/>
        <v>973</v>
      </c>
      <c r="N48" s="177">
        <f t="shared" si="77"/>
        <v>1831</v>
      </c>
      <c r="O48" s="177">
        <f t="shared" si="78"/>
        <v>931</v>
      </c>
      <c r="P48" s="177">
        <f>AZ48+BA48</f>
        <v>1659</v>
      </c>
      <c r="Q48" s="177">
        <f>'2007'!AU48</f>
        <v>2372</v>
      </c>
      <c r="R48" s="177">
        <f>AT48+AX48</f>
        <v>2573</v>
      </c>
      <c r="S48" s="177">
        <f t="shared" si="79"/>
        <v>2186</v>
      </c>
      <c r="T48" s="177">
        <f t="shared" si="80"/>
        <v>917</v>
      </c>
      <c r="U48" s="179">
        <f t="shared" si="81"/>
        <v>1819</v>
      </c>
      <c r="V48" s="177">
        <f>BG48+BJ48</f>
        <v>839</v>
      </c>
      <c r="W48" s="177">
        <f t="shared" si="82"/>
        <v>1202</v>
      </c>
      <c r="X48" s="177">
        <f>BH48+BI48</f>
        <v>2766</v>
      </c>
      <c r="Y48" s="177">
        <f>BK48+BL48+BN48</f>
        <v>3143</v>
      </c>
      <c r="Z48" s="177">
        <f t="shared" si="83"/>
        <v>1855</v>
      </c>
      <c r="AA48" s="177">
        <f>BO48+BQ48</f>
        <v>1630</v>
      </c>
      <c r="AB48" s="179">
        <f t="shared" si="84"/>
        <v>1505</v>
      </c>
      <c r="AC48" s="177">
        <f t="shared" si="85"/>
        <v>1374</v>
      </c>
      <c r="AD48" s="177">
        <f t="shared" si="86"/>
        <v>1092</v>
      </c>
      <c r="AE48" s="177">
        <f>BS48+BT48</f>
        <v>2820</v>
      </c>
      <c r="AF48" s="177">
        <f t="shared" si="87"/>
        <v>1822</v>
      </c>
      <c r="AG48" s="177">
        <f t="shared" si="88"/>
        <v>1978</v>
      </c>
      <c r="AH48" s="177">
        <f t="shared" si="89"/>
        <v>1799</v>
      </c>
      <c r="AI48" s="177">
        <f t="shared" si="90"/>
        <v>1100</v>
      </c>
      <c r="AJ48" s="177">
        <f t="shared" si="91"/>
        <v>908</v>
      </c>
      <c r="AK48" s="179">
        <f t="shared" si="92"/>
        <v>2356</v>
      </c>
      <c r="AL48" s="177">
        <f t="shared" si="93"/>
        <v>1861</v>
      </c>
      <c r="AM48" s="177">
        <f t="shared" si="94"/>
        <v>2346</v>
      </c>
      <c r="AN48" s="177">
        <f t="shared" si="95"/>
        <v>4253</v>
      </c>
      <c r="AO48" s="177">
        <f t="shared" si="96"/>
        <v>2871</v>
      </c>
      <c r="AP48" s="177">
        <f t="shared" si="97"/>
        <v>986</v>
      </c>
      <c r="AQ48" s="177">
        <f t="shared" si="98"/>
        <v>1856</v>
      </c>
      <c r="AR48" s="177">
        <f t="shared" si="99"/>
        <v>1984</v>
      </c>
      <c r="AS48" s="178">
        <f>CF48+CG48</f>
        <v>2460</v>
      </c>
      <c r="AT48" s="177">
        <v>255</v>
      </c>
      <c r="AU48" s="181">
        <v>2372</v>
      </c>
      <c r="AV48" s="181">
        <v>2186</v>
      </c>
      <c r="AW48" s="181">
        <v>1831</v>
      </c>
      <c r="AX48" s="181">
        <v>2318</v>
      </c>
      <c r="AY48" s="177">
        <v>2101</v>
      </c>
      <c r="AZ48" s="177">
        <v>41</v>
      </c>
      <c r="BA48" s="177">
        <v>1618</v>
      </c>
      <c r="BB48" s="177">
        <v>917</v>
      </c>
      <c r="BC48" s="177">
        <v>1819</v>
      </c>
      <c r="BD48" s="177">
        <v>973</v>
      </c>
      <c r="BE48" s="177">
        <v>931</v>
      </c>
      <c r="BF48" s="179">
        <v>3648</v>
      </c>
      <c r="BG48" s="177">
        <v>61</v>
      </c>
      <c r="BH48" s="177">
        <v>171</v>
      </c>
      <c r="BI48" s="177">
        <v>2595</v>
      </c>
      <c r="BJ48" s="177">
        <v>778</v>
      </c>
      <c r="BK48" s="177">
        <v>176</v>
      </c>
      <c r="BL48" s="177">
        <v>444</v>
      </c>
      <c r="BM48" s="177">
        <v>1855</v>
      </c>
      <c r="BN48" s="177">
        <v>2523</v>
      </c>
      <c r="BO48" s="177">
        <v>173</v>
      </c>
      <c r="BP48" s="177">
        <v>1505</v>
      </c>
      <c r="BQ48" s="177">
        <v>1457</v>
      </c>
      <c r="BR48" s="179">
        <v>1202</v>
      </c>
      <c r="BS48" s="177">
        <v>214</v>
      </c>
      <c r="BT48" s="177">
        <v>2606</v>
      </c>
      <c r="BU48" s="177">
        <v>1092</v>
      </c>
      <c r="BV48" s="177">
        <v>1978</v>
      </c>
      <c r="BW48" s="177">
        <v>1100</v>
      </c>
      <c r="BX48" s="177">
        <v>1374</v>
      </c>
      <c r="BY48" s="177">
        <v>908</v>
      </c>
      <c r="BZ48" s="177">
        <v>1799</v>
      </c>
      <c r="CA48" s="177">
        <v>1822</v>
      </c>
      <c r="CB48" s="179">
        <v>2356</v>
      </c>
      <c r="CC48" s="177">
        <v>2871</v>
      </c>
      <c r="CD48" s="177">
        <v>986</v>
      </c>
      <c r="CE48" s="177">
        <v>1861</v>
      </c>
      <c r="CF48" s="177">
        <v>249</v>
      </c>
      <c r="CG48" s="177">
        <v>2211</v>
      </c>
      <c r="CH48" s="177">
        <v>2346</v>
      </c>
      <c r="CI48" s="177">
        <v>1984</v>
      </c>
      <c r="CJ48" s="177">
        <v>4253</v>
      </c>
      <c r="CK48" s="178">
        <v>1856</v>
      </c>
      <c r="CL48" s="180">
        <v>67816</v>
      </c>
    </row>
    <row r="49" spans="1:90">
      <c r="A49" s="93">
        <f>ROWS($A$3:A47)</f>
        <v>45</v>
      </c>
      <c r="B49" s="106" t="s">
        <v>80</v>
      </c>
      <c r="C49" s="242">
        <v>2007</v>
      </c>
      <c r="D49" s="314" t="s">
        <v>8</v>
      </c>
      <c r="E49" s="316">
        <v>40652</v>
      </c>
      <c r="F49" s="156">
        <v>89942</v>
      </c>
      <c r="G49" s="177">
        <v>37333</v>
      </c>
      <c r="H49" s="177">
        <v>58301</v>
      </c>
      <c r="I49" s="178">
        <v>80552</v>
      </c>
      <c r="J49" s="181"/>
      <c r="K49" s="156">
        <f t="shared" si="74"/>
        <v>11991</v>
      </c>
      <c r="L49" s="177">
        <f t="shared" si="75"/>
        <v>7878</v>
      </c>
      <c r="M49" s="177">
        <f t="shared" si="76"/>
        <v>5265</v>
      </c>
      <c r="N49" s="177">
        <f t="shared" si="77"/>
        <v>10904</v>
      </c>
      <c r="O49" s="177">
        <f t="shared" si="78"/>
        <v>9890</v>
      </c>
      <c r="P49" s="177">
        <f>AZ49+BA49</f>
        <v>8353</v>
      </c>
      <c r="Q49" s="177" t="str">
        <f>'2007'!AU49</f>
        <v>*</v>
      </c>
      <c r="R49" s="177">
        <f>AX49</f>
        <v>3392</v>
      </c>
      <c r="S49" s="177">
        <f t="shared" si="79"/>
        <v>15210</v>
      </c>
      <c r="T49" s="177">
        <f t="shared" si="80"/>
        <v>5129</v>
      </c>
      <c r="U49" s="179">
        <f t="shared" si="81"/>
        <v>11930</v>
      </c>
      <c r="V49" s="177">
        <f>BG49+BJ49</f>
        <v>4810</v>
      </c>
      <c r="W49" s="177">
        <f t="shared" si="82"/>
        <v>8680</v>
      </c>
      <c r="X49" s="177">
        <f>BI49</f>
        <v>4163</v>
      </c>
      <c r="Y49" s="177">
        <f>BK49+BN49</f>
        <v>5602</v>
      </c>
      <c r="Z49" s="177">
        <f t="shared" si="83"/>
        <v>3542</v>
      </c>
      <c r="AA49" s="177">
        <f>BQ49</f>
        <v>1825</v>
      </c>
      <c r="AB49" s="179">
        <f t="shared" si="84"/>
        <v>8711</v>
      </c>
      <c r="AC49" s="177">
        <f t="shared" si="85"/>
        <v>4487</v>
      </c>
      <c r="AD49" s="177">
        <f t="shared" si="86"/>
        <v>2542</v>
      </c>
      <c r="AE49" s="177">
        <f>BS49+BT49</f>
        <v>10824</v>
      </c>
      <c r="AF49" s="177">
        <f t="shared" si="87"/>
        <v>6289</v>
      </c>
      <c r="AG49" s="177">
        <f t="shared" si="88"/>
        <v>8615</v>
      </c>
      <c r="AH49" s="177">
        <f t="shared" si="89"/>
        <v>4780</v>
      </c>
      <c r="AI49" s="177">
        <f t="shared" si="90"/>
        <v>8579</v>
      </c>
      <c r="AJ49" s="177">
        <f t="shared" si="91"/>
        <v>5877</v>
      </c>
      <c r="AK49" s="179">
        <f t="shared" si="92"/>
        <v>6308</v>
      </c>
      <c r="AL49" s="177">
        <f t="shared" si="93"/>
        <v>16954</v>
      </c>
      <c r="AM49" s="177">
        <f t="shared" si="94"/>
        <v>6344</v>
      </c>
      <c r="AN49" s="177">
        <f t="shared" si="95"/>
        <v>5993</v>
      </c>
      <c r="AO49" s="177">
        <f t="shared" si="96"/>
        <v>21478</v>
      </c>
      <c r="AP49" s="177">
        <f t="shared" si="97"/>
        <v>6610</v>
      </c>
      <c r="AQ49" s="177">
        <f t="shared" si="98"/>
        <v>5780</v>
      </c>
      <c r="AR49" s="177">
        <f t="shared" si="99"/>
        <v>5166</v>
      </c>
      <c r="AS49" s="178">
        <f>CF49+CG49</f>
        <v>12227</v>
      </c>
      <c r="AT49" s="181" t="s">
        <v>252</v>
      </c>
      <c r="AU49" s="177" t="s">
        <v>252</v>
      </c>
      <c r="AV49" s="181">
        <v>15210</v>
      </c>
      <c r="AW49" s="181">
        <v>10904</v>
      </c>
      <c r="AX49" s="181">
        <v>3392</v>
      </c>
      <c r="AY49" s="177">
        <v>7878</v>
      </c>
      <c r="AZ49" s="177">
        <v>0</v>
      </c>
      <c r="BA49" s="177">
        <v>8353</v>
      </c>
      <c r="BB49" s="177">
        <v>5129</v>
      </c>
      <c r="BC49" s="177">
        <v>11930</v>
      </c>
      <c r="BD49" s="177">
        <v>5265</v>
      </c>
      <c r="BE49" s="177">
        <v>9890</v>
      </c>
      <c r="BF49" s="179">
        <v>11991</v>
      </c>
      <c r="BG49" s="177">
        <v>1814</v>
      </c>
      <c r="BH49" s="177" t="s">
        <v>252</v>
      </c>
      <c r="BI49" s="177">
        <v>4163</v>
      </c>
      <c r="BJ49" s="177">
        <v>2996</v>
      </c>
      <c r="BK49" s="177">
        <v>107</v>
      </c>
      <c r="BL49" s="177" t="s">
        <v>252</v>
      </c>
      <c r="BM49" s="177">
        <v>3542</v>
      </c>
      <c r="BN49" s="177">
        <v>5495</v>
      </c>
      <c r="BO49" s="177" t="s">
        <v>252</v>
      </c>
      <c r="BP49" s="177">
        <v>8711</v>
      </c>
      <c r="BQ49" s="177">
        <v>1825</v>
      </c>
      <c r="BR49" s="179">
        <v>8680</v>
      </c>
      <c r="BS49" s="177">
        <v>3705</v>
      </c>
      <c r="BT49" s="177">
        <v>7119</v>
      </c>
      <c r="BU49" s="177">
        <v>2542</v>
      </c>
      <c r="BV49" s="177">
        <v>8615</v>
      </c>
      <c r="BW49" s="177">
        <v>8579</v>
      </c>
      <c r="BX49" s="177">
        <v>4487</v>
      </c>
      <c r="BY49" s="177">
        <v>5877</v>
      </c>
      <c r="BZ49" s="177">
        <v>4780</v>
      </c>
      <c r="CA49" s="177">
        <v>6289</v>
      </c>
      <c r="CB49" s="179">
        <v>6308</v>
      </c>
      <c r="CC49" s="177">
        <v>21478</v>
      </c>
      <c r="CD49" s="177">
        <v>6610</v>
      </c>
      <c r="CE49" s="177">
        <v>16954</v>
      </c>
      <c r="CF49" s="177">
        <v>372</v>
      </c>
      <c r="CG49" s="177">
        <v>11855</v>
      </c>
      <c r="CH49" s="177">
        <v>6344</v>
      </c>
      <c r="CI49" s="177">
        <v>5166</v>
      </c>
      <c r="CJ49" s="177">
        <v>5993</v>
      </c>
      <c r="CK49" s="178">
        <v>5780</v>
      </c>
      <c r="CL49" s="180">
        <v>274311</v>
      </c>
    </row>
    <row r="50" spans="1:90">
      <c r="A50" s="93">
        <f>ROWS($A$3:A48)</f>
        <v>46</v>
      </c>
      <c r="B50" s="106" t="s">
        <v>81</v>
      </c>
      <c r="C50" s="242">
        <v>2007</v>
      </c>
      <c r="D50" s="314" t="s">
        <v>22</v>
      </c>
      <c r="E50" s="333"/>
      <c r="F50" s="156">
        <v>81</v>
      </c>
      <c r="G50" s="177">
        <v>45</v>
      </c>
      <c r="H50" s="177">
        <v>63</v>
      </c>
      <c r="I50" s="178">
        <v>95</v>
      </c>
      <c r="J50" s="181"/>
      <c r="K50" s="156">
        <f t="shared" si="74"/>
        <v>111</v>
      </c>
      <c r="L50" s="177">
        <f t="shared" si="75"/>
        <v>81</v>
      </c>
      <c r="M50" s="177">
        <f t="shared" si="76"/>
        <v>48</v>
      </c>
      <c r="N50" s="177">
        <f t="shared" si="77"/>
        <v>98</v>
      </c>
      <c r="O50" s="177">
        <f t="shared" si="78"/>
        <v>91</v>
      </c>
      <c r="P50" s="183">
        <f>(AZ50*AZ35+BA50*BA35)/P35</f>
        <v>30.653188206771443</v>
      </c>
      <c r="Q50" s="177">
        <f>'2007'!AU50</f>
        <v>53</v>
      </c>
      <c r="R50" s="183">
        <f>(AT50*AT35+AX50*AX35)/R35</f>
        <v>53.913272722090802</v>
      </c>
      <c r="S50" s="177">
        <f t="shared" si="79"/>
        <v>58</v>
      </c>
      <c r="T50" s="177">
        <f t="shared" si="80"/>
        <v>94</v>
      </c>
      <c r="U50" s="179">
        <f t="shared" si="81"/>
        <v>130</v>
      </c>
      <c r="V50" s="183">
        <f>(BG50*BG35+BJ50*BJ35)/V35</f>
        <v>23.895006016847173</v>
      </c>
      <c r="W50" s="177">
        <f t="shared" si="82"/>
        <v>66</v>
      </c>
      <c r="X50" s="183">
        <f>(BH50*BH35+BI50*BI35)/X35</f>
        <v>23</v>
      </c>
      <c r="Y50" s="183">
        <f>(BK50*BK35+BL50*BL35+BN50*BN35)/Y35</f>
        <v>41.784437531918847</v>
      </c>
      <c r="Z50" s="177">
        <f t="shared" si="83"/>
        <v>55</v>
      </c>
      <c r="AA50" s="183">
        <f>(BO50*BO35+BQ50*BQ35)/AA35</f>
        <v>51.704883859440145</v>
      </c>
      <c r="AB50" s="179">
        <f t="shared" si="84"/>
        <v>67</v>
      </c>
      <c r="AC50" s="177">
        <f t="shared" si="85"/>
        <v>73</v>
      </c>
      <c r="AD50" s="177">
        <f t="shared" si="86"/>
        <v>61</v>
      </c>
      <c r="AE50" s="183">
        <f>(BS50*BS35+BT50*BT35)/AE35</f>
        <v>54.127943602819862</v>
      </c>
      <c r="AF50" s="177">
        <f t="shared" si="87"/>
        <v>64</v>
      </c>
      <c r="AG50" s="177">
        <f t="shared" si="88"/>
        <v>52</v>
      </c>
      <c r="AH50" s="177">
        <f t="shared" si="89"/>
        <v>69</v>
      </c>
      <c r="AI50" s="177">
        <f t="shared" si="90"/>
        <v>65</v>
      </c>
      <c r="AJ50" s="177">
        <f t="shared" si="91"/>
        <v>60</v>
      </c>
      <c r="AK50" s="179">
        <f t="shared" si="92"/>
        <v>80</v>
      </c>
      <c r="AL50" s="177">
        <f t="shared" si="93"/>
        <v>42</v>
      </c>
      <c r="AM50" s="177">
        <f t="shared" si="94"/>
        <v>115</v>
      </c>
      <c r="AN50" s="177">
        <f t="shared" si="95"/>
        <v>142</v>
      </c>
      <c r="AO50" s="177">
        <f t="shared" si="96"/>
        <v>67</v>
      </c>
      <c r="AP50" s="177">
        <f t="shared" si="97"/>
        <v>39</v>
      </c>
      <c r="AQ50" s="177">
        <f t="shared" si="98"/>
        <v>79</v>
      </c>
      <c r="AR50" s="177">
        <f t="shared" si="99"/>
        <v>72</v>
      </c>
      <c r="AS50" s="184">
        <f>(CF50*CF35+CG50*CG35)/AS35</f>
        <v>98.34433179953362</v>
      </c>
      <c r="AT50" s="177">
        <v>40</v>
      </c>
      <c r="AU50" s="181">
        <v>53</v>
      </c>
      <c r="AV50" s="181">
        <v>58</v>
      </c>
      <c r="AW50" s="181">
        <v>98</v>
      </c>
      <c r="AX50" s="181">
        <v>55</v>
      </c>
      <c r="AY50" s="177">
        <v>81</v>
      </c>
      <c r="AZ50" s="177">
        <v>13</v>
      </c>
      <c r="BA50" s="177">
        <v>32</v>
      </c>
      <c r="BB50" s="177">
        <v>94</v>
      </c>
      <c r="BC50" s="177">
        <v>130</v>
      </c>
      <c r="BD50" s="177">
        <v>48</v>
      </c>
      <c r="BE50" s="177">
        <v>91</v>
      </c>
      <c r="BF50" s="179">
        <v>111</v>
      </c>
      <c r="BG50" s="177">
        <v>23</v>
      </c>
      <c r="BH50" s="177">
        <v>23</v>
      </c>
      <c r="BI50" s="177">
        <v>23</v>
      </c>
      <c r="BJ50" s="177">
        <v>24</v>
      </c>
      <c r="BK50" s="177">
        <v>43</v>
      </c>
      <c r="BL50" s="177">
        <v>24</v>
      </c>
      <c r="BM50" s="177">
        <v>55</v>
      </c>
      <c r="BN50" s="177">
        <v>43</v>
      </c>
      <c r="BO50" s="177">
        <v>46</v>
      </c>
      <c r="BP50" s="177">
        <v>67</v>
      </c>
      <c r="BQ50" s="177">
        <v>52</v>
      </c>
      <c r="BR50" s="179">
        <v>66</v>
      </c>
      <c r="BS50" s="177">
        <v>28</v>
      </c>
      <c r="BT50" s="177">
        <v>56</v>
      </c>
      <c r="BU50" s="177">
        <v>61</v>
      </c>
      <c r="BV50" s="177">
        <v>52</v>
      </c>
      <c r="BW50" s="177">
        <v>65</v>
      </c>
      <c r="BX50" s="177">
        <v>73</v>
      </c>
      <c r="BY50" s="177">
        <v>60</v>
      </c>
      <c r="BZ50" s="177">
        <v>69</v>
      </c>
      <c r="CA50" s="177">
        <v>64</v>
      </c>
      <c r="CB50" s="179">
        <v>80</v>
      </c>
      <c r="CC50" s="177">
        <v>67</v>
      </c>
      <c r="CD50" s="177">
        <v>39</v>
      </c>
      <c r="CE50" s="177">
        <v>42</v>
      </c>
      <c r="CF50" s="177">
        <v>88</v>
      </c>
      <c r="CG50" s="177">
        <v>99</v>
      </c>
      <c r="CH50" s="177">
        <v>115</v>
      </c>
      <c r="CI50" s="177">
        <v>72</v>
      </c>
      <c r="CJ50" s="177">
        <v>142</v>
      </c>
      <c r="CK50" s="178">
        <v>79</v>
      </c>
      <c r="CL50" s="180">
        <v>76</v>
      </c>
    </row>
    <row r="51" spans="1:90">
      <c r="A51" s="93">
        <f>ROWS($A$3:A49)</f>
        <v>47</v>
      </c>
      <c r="B51" s="62" t="s">
        <v>103</v>
      </c>
      <c r="C51" s="312">
        <f>C95</f>
        <v>2007</v>
      </c>
      <c r="D51" s="314" t="s">
        <v>10</v>
      </c>
      <c r="E51" s="316">
        <v>40441</v>
      </c>
      <c r="F51" s="182">
        <f>ROUND(F96/F95*1000,0)</f>
        <v>6189</v>
      </c>
      <c r="G51" s="183">
        <f>ROUND(G96/G95*1000,0)</f>
        <v>5800</v>
      </c>
      <c r="H51" s="183">
        <f>ROUND(H96/H95*1000,0)</f>
        <v>5483</v>
      </c>
      <c r="I51" s="184">
        <f>ROUND(I96/I95*1000,0)</f>
        <v>6312</v>
      </c>
      <c r="J51" s="181"/>
      <c r="K51" s="185">
        <f t="shared" si="74"/>
        <v>6547</v>
      </c>
      <c r="L51" s="186">
        <f t="shared" si="75"/>
        <v>6140</v>
      </c>
      <c r="M51" s="186">
        <f t="shared" si="76"/>
        <v>6070</v>
      </c>
      <c r="N51" s="186">
        <f t="shared" si="77"/>
        <v>5641</v>
      </c>
      <c r="O51" s="186">
        <f t="shared" si="78"/>
        <v>5931</v>
      </c>
      <c r="P51" s="183">
        <f>ROUND(P96/P95*1000,0)</f>
        <v>5937</v>
      </c>
      <c r="Q51" s="186">
        <f>'2007'!AU51</f>
        <v>5965</v>
      </c>
      <c r="R51" s="183">
        <f>ROUND(R96/R95*1000,0)</f>
        <v>6146</v>
      </c>
      <c r="S51" s="186">
        <f t="shared" si="79"/>
        <v>4808</v>
      </c>
      <c r="T51" s="186">
        <f t="shared" si="80"/>
        <v>6195</v>
      </c>
      <c r="U51" s="187">
        <f t="shared" si="81"/>
        <v>6486</v>
      </c>
      <c r="V51" s="183">
        <f>ROUND(V96/V95*1000,0)</f>
        <v>4312</v>
      </c>
      <c r="W51" s="186">
        <f t="shared" si="82"/>
        <v>5676</v>
      </c>
      <c r="X51" s="183">
        <f>ROUND(X96/X95*1000,0)</f>
        <v>4766</v>
      </c>
      <c r="Y51" s="183">
        <f>ROUND(Y96/Y95*1000,0)</f>
        <v>5783</v>
      </c>
      <c r="Z51" s="186">
        <f t="shared" si="83"/>
        <v>6089</v>
      </c>
      <c r="AA51" s="183">
        <f>ROUND(AA96/AA95*1000,0)</f>
        <v>6049</v>
      </c>
      <c r="AB51" s="187">
        <f t="shared" si="84"/>
        <v>5735</v>
      </c>
      <c r="AC51" s="186">
        <f t="shared" si="85"/>
        <v>5274</v>
      </c>
      <c r="AD51" s="186">
        <f t="shared" si="86"/>
        <v>4967</v>
      </c>
      <c r="AE51" s="183">
        <f>ROUND(AE96/AE95*1000,0)</f>
        <v>5502</v>
      </c>
      <c r="AF51" s="186">
        <f t="shared" si="87"/>
        <v>4804</v>
      </c>
      <c r="AG51" s="186">
        <f t="shared" si="88"/>
        <v>4629</v>
      </c>
      <c r="AH51" s="186">
        <f t="shared" si="89"/>
        <v>6408</v>
      </c>
      <c r="AI51" s="186">
        <f t="shared" si="90"/>
        <v>5198</v>
      </c>
      <c r="AJ51" s="186">
        <f t="shared" si="91"/>
        <v>6251</v>
      </c>
      <c r="AK51" s="187">
        <f t="shared" si="92"/>
        <v>5872</v>
      </c>
      <c r="AL51" s="186">
        <f t="shared" si="93"/>
        <v>6500</v>
      </c>
      <c r="AM51" s="186">
        <f t="shared" si="94"/>
        <v>6297</v>
      </c>
      <c r="AN51" s="186">
        <f t="shared" si="95"/>
        <v>6568</v>
      </c>
      <c r="AO51" s="186">
        <f t="shared" si="96"/>
        <v>5866</v>
      </c>
      <c r="AP51" s="186">
        <f t="shared" si="97"/>
        <v>5410</v>
      </c>
      <c r="AQ51" s="186">
        <f t="shared" si="98"/>
        <v>5897</v>
      </c>
      <c r="AR51" s="186">
        <f t="shared" si="99"/>
        <v>6003</v>
      </c>
      <c r="AS51" s="184">
        <f>ROUND(AS96/AS95*1000,0)</f>
        <v>6146</v>
      </c>
      <c r="AT51" s="183">
        <f>IF(ISERROR(AT96/AT95)=TRUE,0,ROUND(AT96/AT95*1000,0))</f>
        <v>0</v>
      </c>
      <c r="AU51" s="183">
        <f t="shared" ref="AU51:CL51" si="100">IF(ISERROR(AU96/AU95)=TRUE,0,ROUND(AU96/AU95*1000,0))</f>
        <v>5965</v>
      </c>
      <c r="AV51" s="183">
        <f t="shared" si="100"/>
        <v>4808</v>
      </c>
      <c r="AW51" s="183">
        <f t="shared" si="100"/>
        <v>5641</v>
      </c>
      <c r="AX51" s="183">
        <f t="shared" si="100"/>
        <v>6146</v>
      </c>
      <c r="AY51" s="183">
        <f t="shared" si="100"/>
        <v>6140</v>
      </c>
      <c r="AZ51" s="183">
        <f t="shared" si="100"/>
        <v>3503</v>
      </c>
      <c r="BA51" s="183">
        <f t="shared" si="100"/>
        <v>6010</v>
      </c>
      <c r="BB51" s="183">
        <f t="shared" si="100"/>
        <v>6195</v>
      </c>
      <c r="BC51" s="183">
        <f t="shared" si="100"/>
        <v>6486</v>
      </c>
      <c r="BD51" s="183">
        <f t="shared" si="100"/>
        <v>6070</v>
      </c>
      <c r="BE51" s="183">
        <f t="shared" si="100"/>
        <v>5931</v>
      </c>
      <c r="BF51" s="188">
        <f t="shared" si="100"/>
        <v>6547</v>
      </c>
      <c r="BG51" s="183">
        <f t="shared" si="100"/>
        <v>0</v>
      </c>
      <c r="BH51" s="183">
        <f t="shared" si="100"/>
        <v>4135</v>
      </c>
      <c r="BI51" s="183">
        <f t="shared" si="100"/>
        <v>4804</v>
      </c>
      <c r="BJ51" s="183">
        <f t="shared" si="100"/>
        <v>4312</v>
      </c>
      <c r="BK51" s="183">
        <f t="shared" si="100"/>
        <v>4737</v>
      </c>
      <c r="BL51" s="183">
        <f t="shared" si="100"/>
        <v>3563</v>
      </c>
      <c r="BM51" s="183">
        <f t="shared" si="100"/>
        <v>6089</v>
      </c>
      <c r="BN51" s="183">
        <f t="shared" si="100"/>
        <v>5847</v>
      </c>
      <c r="BO51" s="183">
        <f t="shared" si="100"/>
        <v>2244</v>
      </c>
      <c r="BP51" s="183">
        <f t="shared" si="100"/>
        <v>5735</v>
      </c>
      <c r="BQ51" s="183">
        <f t="shared" si="100"/>
        <v>6154</v>
      </c>
      <c r="BR51" s="188">
        <f t="shared" si="100"/>
        <v>5676</v>
      </c>
      <c r="BS51" s="183">
        <f t="shared" si="100"/>
        <v>0</v>
      </c>
      <c r="BT51" s="183">
        <f t="shared" si="100"/>
        <v>5502</v>
      </c>
      <c r="BU51" s="183">
        <f t="shared" si="100"/>
        <v>4967</v>
      </c>
      <c r="BV51" s="183">
        <f t="shared" si="100"/>
        <v>4629</v>
      </c>
      <c r="BW51" s="183">
        <f t="shared" si="100"/>
        <v>5198</v>
      </c>
      <c r="BX51" s="183">
        <f t="shared" si="100"/>
        <v>5274</v>
      </c>
      <c r="BY51" s="183">
        <f t="shared" si="100"/>
        <v>6251</v>
      </c>
      <c r="BZ51" s="183">
        <f t="shared" si="100"/>
        <v>6408</v>
      </c>
      <c r="CA51" s="183">
        <f t="shared" si="100"/>
        <v>4804</v>
      </c>
      <c r="CB51" s="188">
        <f t="shared" si="100"/>
        <v>5872</v>
      </c>
      <c r="CC51" s="183">
        <f t="shared" si="100"/>
        <v>5866</v>
      </c>
      <c r="CD51" s="183">
        <f t="shared" si="100"/>
        <v>5410</v>
      </c>
      <c r="CE51" s="183">
        <f t="shared" si="100"/>
        <v>6500</v>
      </c>
      <c r="CF51" s="183">
        <f t="shared" si="100"/>
        <v>7285</v>
      </c>
      <c r="CG51" s="183">
        <f t="shared" si="100"/>
        <v>6095</v>
      </c>
      <c r="CH51" s="183">
        <f t="shared" si="100"/>
        <v>6297</v>
      </c>
      <c r="CI51" s="183">
        <f t="shared" si="100"/>
        <v>6003</v>
      </c>
      <c r="CJ51" s="183">
        <f t="shared" si="100"/>
        <v>6568</v>
      </c>
      <c r="CK51" s="184">
        <f t="shared" si="100"/>
        <v>5897</v>
      </c>
      <c r="CL51" s="189">
        <f t="shared" si="100"/>
        <v>6082</v>
      </c>
    </row>
    <row r="52" spans="1:90">
      <c r="A52" s="93">
        <f>ROWS($A$3:A50)</f>
        <v>48</v>
      </c>
      <c r="B52" s="62" t="s">
        <v>104</v>
      </c>
      <c r="C52" s="312"/>
      <c r="D52" s="314" t="s">
        <v>11</v>
      </c>
      <c r="E52" s="316">
        <v>40441</v>
      </c>
      <c r="F52" s="182">
        <f>F97</f>
        <v>603900</v>
      </c>
      <c r="G52" s="183">
        <f>G97</f>
        <v>138347</v>
      </c>
      <c r="H52" s="183">
        <f>H97</f>
        <v>352711</v>
      </c>
      <c r="I52" s="184">
        <f>I97</f>
        <v>981472</v>
      </c>
      <c r="J52" s="181"/>
      <c r="K52" s="185">
        <f t="shared" si="74"/>
        <v>155074</v>
      </c>
      <c r="L52" s="186">
        <f t="shared" si="75"/>
        <v>41053</v>
      </c>
      <c r="M52" s="186">
        <f t="shared" si="76"/>
        <v>43478</v>
      </c>
      <c r="N52" s="186">
        <f t="shared" si="77"/>
        <v>55266</v>
      </c>
      <c r="O52" s="186">
        <f t="shared" si="78"/>
        <v>43767</v>
      </c>
      <c r="P52" s="183">
        <f>AZ52+BA52</f>
        <v>28830</v>
      </c>
      <c r="Q52" s="186">
        <f>'2009'!AU52</f>
        <v>16912</v>
      </c>
      <c r="R52" s="183">
        <f>AT52+AX52</f>
        <v>27467</v>
      </c>
      <c r="S52" s="186">
        <f t="shared" si="79"/>
        <v>12840</v>
      </c>
      <c r="T52" s="186">
        <f t="shared" si="80"/>
        <v>43685</v>
      </c>
      <c r="U52" s="187">
        <f t="shared" si="81"/>
        <v>133375</v>
      </c>
      <c r="V52" s="183">
        <f>BG52+BJ52</f>
        <v>1976</v>
      </c>
      <c r="W52" s="186">
        <f t="shared" si="82"/>
        <v>21466</v>
      </c>
      <c r="X52" s="183">
        <f>BH52+BI52</f>
        <v>7001</v>
      </c>
      <c r="Y52" s="183">
        <f>BK52+BL52+BN52</f>
        <v>22899</v>
      </c>
      <c r="Z52" s="186">
        <f t="shared" si="83"/>
        <v>48317</v>
      </c>
      <c r="AA52" s="183">
        <f>BO52+BQ52</f>
        <v>16733</v>
      </c>
      <c r="AB52" s="187">
        <f t="shared" si="84"/>
        <v>19955</v>
      </c>
      <c r="AC52" s="186">
        <f t="shared" si="85"/>
        <v>58748</v>
      </c>
      <c r="AD52" s="186">
        <f t="shared" si="86"/>
        <v>17428</v>
      </c>
      <c r="AE52" s="183">
        <f>BS52+BT52</f>
        <v>53636</v>
      </c>
      <c r="AF52" s="186">
        <f t="shared" si="87"/>
        <v>17518</v>
      </c>
      <c r="AG52" s="186">
        <f t="shared" si="88"/>
        <v>38241</v>
      </c>
      <c r="AH52" s="186">
        <f t="shared" si="89"/>
        <v>54696</v>
      </c>
      <c r="AI52" s="186">
        <f t="shared" si="90"/>
        <v>26720</v>
      </c>
      <c r="AJ52" s="186">
        <f t="shared" si="91"/>
        <v>30031</v>
      </c>
      <c r="AK52" s="187">
        <f t="shared" si="92"/>
        <v>55693</v>
      </c>
      <c r="AL52" s="186">
        <f t="shared" si="93"/>
        <v>19734</v>
      </c>
      <c r="AM52" s="186">
        <f t="shared" si="94"/>
        <v>212304</v>
      </c>
      <c r="AN52" s="186">
        <f t="shared" si="95"/>
        <v>435692</v>
      </c>
      <c r="AO52" s="186">
        <f t="shared" si="96"/>
        <v>48954</v>
      </c>
      <c r="AP52" s="186">
        <f t="shared" si="97"/>
        <v>9167</v>
      </c>
      <c r="AQ52" s="186">
        <f t="shared" si="98"/>
        <v>75781</v>
      </c>
      <c r="AR52" s="186">
        <f t="shared" si="99"/>
        <v>63850</v>
      </c>
      <c r="AS52" s="184">
        <f>CF52+CG52</f>
        <v>115990</v>
      </c>
      <c r="AT52" s="183">
        <f t="shared" ref="AT52:BF52" si="101">AT97</f>
        <v>0</v>
      </c>
      <c r="AU52" s="183">
        <f t="shared" si="101"/>
        <v>17006</v>
      </c>
      <c r="AV52" s="183">
        <f t="shared" si="101"/>
        <v>12840</v>
      </c>
      <c r="AW52" s="183">
        <f t="shared" si="101"/>
        <v>55266</v>
      </c>
      <c r="AX52" s="183">
        <f t="shared" si="101"/>
        <v>27467</v>
      </c>
      <c r="AY52" s="183">
        <f t="shared" si="101"/>
        <v>41053</v>
      </c>
      <c r="AZ52" s="183">
        <f t="shared" si="101"/>
        <v>483</v>
      </c>
      <c r="BA52" s="183">
        <f t="shared" si="101"/>
        <v>28347</v>
      </c>
      <c r="BB52" s="183">
        <f t="shared" si="101"/>
        <v>43685</v>
      </c>
      <c r="BC52" s="183">
        <f t="shared" si="101"/>
        <v>133375</v>
      </c>
      <c r="BD52" s="183">
        <f t="shared" si="101"/>
        <v>43478</v>
      </c>
      <c r="BE52" s="183">
        <f t="shared" si="101"/>
        <v>43767</v>
      </c>
      <c r="BF52" s="188">
        <f t="shared" si="101"/>
        <v>155074</v>
      </c>
      <c r="BG52" s="183">
        <v>0</v>
      </c>
      <c r="BH52" s="183">
        <f t="shared" ref="BH52:CK52" si="102">BH97</f>
        <v>354</v>
      </c>
      <c r="BI52" s="183">
        <f t="shared" si="102"/>
        <v>6647</v>
      </c>
      <c r="BJ52" s="183">
        <f t="shared" si="102"/>
        <v>1976</v>
      </c>
      <c r="BK52" s="183">
        <f t="shared" si="102"/>
        <v>959</v>
      </c>
      <c r="BL52" s="183">
        <f t="shared" si="102"/>
        <v>55</v>
      </c>
      <c r="BM52" s="183">
        <f t="shared" si="102"/>
        <v>48317</v>
      </c>
      <c r="BN52" s="183">
        <f t="shared" si="102"/>
        <v>21885</v>
      </c>
      <c r="BO52" s="183">
        <f t="shared" si="102"/>
        <v>175</v>
      </c>
      <c r="BP52" s="183">
        <f t="shared" si="102"/>
        <v>19955</v>
      </c>
      <c r="BQ52" s="183">
        <f t="shared" si="102"/>
        <v>16558</v>
      </c>
      <c r="BR52" s="188">
        <f t="shared" si="102"/>
        <v>21466</v>
      </c>
      <c r="BS52" s="183">
        <f t="shared" si="102"/>
        <v>0</v>
      </c>
      <c r="BT52" s="183">
        <f t="shared" si="102"/>
        <v>53636</v>
      </c>
      <c r="BU52" s="183">
        <f t="shared" si="102"/>
        <v>17428</v>
      </c>
      <c r="BV52" s="183">
        <f t="shared" si="102"/>
        <v>38241</v>
      </c>
      <c r="BW52" s="183">
        <f t="shared" si="102"/>
        <v>26720</v>
      </c>
      <c r="BX52" s="183">
        <f t="shared" si="102"/>
        <v>58748</v>
      </c>
      <c r="BY52" s="183">
        <f t="shared" si="102"/>
        <v>30031</v>
      </c>
      <c r="BZ52" s="183">
        <f t="shared" si="102"/>
        <v>54696</v>
      </c>
      <c r="CA52" s="183">
        <f t="shared" si="102"/>
        <v>17518</v>
      </c>
      <c r="CB52" s="188">
        <f t="shared" si="102"/>
        <v>55693</v>
      </c>
      <c r="CC52" s="183">
        <f t="shared" si="102"/>
        <v>48954</v>
      </c>
      <c r="CD52" s="183">
        <f t="shared" si="102"/>
        <v>9167</v>
      </c>
      <c r="CE52" s="183">
        <f t="shared" si="102"/>
        <v>19734</v>
      </c>
      <c r="CF52" s="183">
        <f t="shared" si="102"/>
        <v>6133</v>
      </c>
      <c r="CG52" s="183">
        <f t="shared" si="102"/>
        <v>109857</v>
      </c>
      <c r="CH52" s="183">
        <f t="shared" si="102"/>
        <v>212304</v>
      </c>
      <c r="CI52" s="183">
        <f t="shared" si="102"/>
        <v>63850</v>
      </c>
      <c r="CJ52" s="183">
        <f t="shared" si="102"/>
        <v>435692</v>
      </c>
      <c r="CK52" s="184">
        <f t="shared" si="102"/>
        <v>75781</v>
      </c>
      <c r="CL52" s="189">
        <v>2117936</v>
      </c>
    </row>
    <row r="53" spans="1:90">
      <c r="A53" s="93">
        <f>ROWS($A$3:A51)</f>
        <v>49</v>
      </c>
      <c r="B53" s="62" t="str">
        <f>"Änderung der Milchanlieferung "&amp;C95&amp;" / "&amp;C98</f>
        <v>Änderung der Milchanlieferung 2007 / 2001</v>
      </c>
      <c r="C53" s="312"/>
      <c r="D53" s="314" t="s">
        <v>4</v>
      </c>
      <c r="E53" s="316">
        <v>40441</v>
      </c>
      <c r="F53" s="207">
        <f>F52/'2001'!F52%-100</f>
        <v>-2.4181364271690882</v>
      </c>
      <c r="G53" s="208">
        <f>G52/'2001'!G52%-100</f>
        <v>-7.1652407314209086</v>
      </c>
      <c r="H53" s="208">
        <f>H52/'2001'!H52%-100</f>
        <v>-3.788073039132783</v>
      </c>
      <c r="I53" s="209">
        <f>I52/'2001'!I52%-100</f>
        <v>-2.7559059018891645</v>
      </c>
      <c r="J53" s="213"/>
      <c r="K53" s="218">
        <f t="shared" si="74"/>
        <v>2.8942619034980765</v>
      </c>
      <c r="L53" s="219">
        <f t="shared" si="75"/>
        <v>-4.1041812660593422</v>
      </c>
      <c r="M53" s="219">
        <f t="shared" si="76"/>
        <v>-5.4229840551652018</v>
      </c>
      <c r="N53" s="219">
        <f t="shared" si="77"/>
        <v>-4.3046128272613942</v>
      </c>
      <c r="O53" s="219">
        <f t="shared" si="78"/>
        <v>3.9620893607924188</v>
      </c>
      <c r="P53" s="208">
        <f>(P52-P99)/P99%</f>
        <v>-16.006292972846985</v>
      </c>
      <c r="Q53" s="219">
        <f>'2007'!AU53</f>
        <v>-7.76156641536042</v>
      </c>
      <c r="R53" s="208">
        <f>(R52-R99)/R99%</f>
        <v>-13.353312302839116</v>
      </c>
      <c r="S53" s="219">
        <f t="shared" si="79"/>
        <v>-12.307061876792787</v>
      </c>
      <c r="T53" s="219">
        <f t="shared" si="80"/>
        <v>-2.9373208611993675</v>
      </c>
      <c r="U53" s="220">
        <f t="shared" si="81"/>
        <v>-1.5035706109547959</v>
      </c>
      <c r="V53" s="208">
        <f>(V52-V99)/V99%</f>
        <v>-29.804618117229133</v>
      </c>
      <c r="W53" s="219">
        <f t="shared" si="82"/>
        <v>-2.7102973168963018</v>
      </c>
      <c r="X53" s="208">
        <f>(X52-X99)/X99%</f>
        <v>-20.587568058076226</v>
      </c>
      <c r="Y53" s="208">
        <f>(Y52-Y99)/Y99%</f>
        <v>-11.60052501544163</v>
      </c>
      <c r="Z53" s="219">
        <f t="shared" si="83"/>
        <v>-6.6338164251207701</v>
      </c>
      <c r="AA53" s="208">
        <f>(AA52-AA99)/AA99%</f>
        <v>3.1882091761223483</v>
      </c>
      <c r="AB53" s="220">
        <f t="shared" si="84"/>
        <v>-7.013047530288901</v>
      </c>
      <c r="AC53" s="219">
        <f t="shared" si="85"/>
        <v>-4.9200492004920022</v>
      </c>
      <c r="AD53" s="219">
        <f t="shared" si="86"/>
        <v>-10.386672151378022</v>
      </c>
      <c r="AE53" s="208">
        <f>(AE52-AE99)/AE99%</f>
        <v>-2.8913873952166274</v>
      </c>
      <c r="AF53" s="219">
        <f t="shared" si="87"/>
        <v>-12.212478075670262</v>
      </c>
      <c r="AG53" s="219">
        <f t="shared" si="88"/>
        <v>-14.150053879310349</v>
      </c>
      <c r="AH53" s="219">
        <f t="shared" si="89"/>
        <v>2.0390649777064738</v>
      </c>
      <c r="AI53" s="219">
        <f t="shared" si="90"/>
        <v>-9.128009794585779</v>
      </c>
      <c r="AJ53" s="219">
        <f t="shared" si="91"/>
        <v>5.3054211375271763</v>
      </c>
      <c r="AK53" s="220">
        <f t="shared" si="92"/>
        <v>2.9350337307088097</v>
      </c>
      <c r="AL53" s="219">
        <f t="shared" si="93"/>
        <v>3.8194444444444429</v>
      </c>
      <c r="AM53" s="219">
        <f t="shared" si="94"/>
        <v>-3.494233855021335</v>
      </c>
      <c r="AN53" s="219">
        <f t="shared" si="95"/>
        <v>-0.44329482304766543</v>
      </c>
      <c r="AO53" s="219">
        <f t="shared" si="96"/>
        <v>-5.7960974483315937</v>
      </c>
      <c r="AP53" s="219">
        <f t="shared" si="97"/>
        <v>-2.9227999576405921</v>
      </c>
      <c r="AQ53" s="219">
        <f t="shared" si="98"/>
        <v>-5.4191680291551734</v>
      </c>
      <c r="AR53" s="219">
        <f t="shared" si="99"/>
        <v>-10.792874607055538</v>
      </c>
      <c r="AS53" s="209">
        <f>(AS52-AS99)/AS99%</f>
        <v>-2.9770219742532351</v>
      </c>
      <c r="AT53" s="208">
        <f>AT52/'2001'!AT52%-100</f>
        <v>-100</v>
      </c>
      <c r="AU53" s="208">
        <f>AU52/'2001'!AU52%-100</f>
        <v>-7.76156641536042</v>
      </c>
      <c r="AV53" s="208">
        <f>AV52/'2001'!AV52%-100</f>
        <v>-12.307061876792787</v>
      </c>
      <c r="AW53" s="208">
        <f>AW52/'2001'!AW52%-100</f>
        <v>-4.3046128272613942</v>
      </c>
      <c r="AX53" s="208">
        <f>AX52/'2001'!AX52%-100</f>
        <v>-7.008159257879953</v>
      </c>
      <c r="AY53" s="208">
        <f>AY52/'2001'!AY52%-100</f>
        <v>-4.1041812660593422</v>
      </c>
      <c r="AZ53" s="208">
        <f>AZ52/'2001'!AZ52%-100</f>
        <v>-41.947115384615387</v>
      </c>
      <c r="BA53" s="208">
        <f>BA52/'2001'!BA52%-100</f>
        <v>-15.361877463274823</v>
      </c>
      <c r="BB53" s="208">
        <f>BB52/'2001'!BB52%-100</f>
        <v>-2.9373208611993675</v>
      </c>
      <c r="BC53" s="208">
        <f>BC52/'2001'!BC52%-100</f>
        <v>-1.5035706109547959</v>
      </c>
      <c r="BD53" s="208">
        <f>BD52/'2001'!BD52%-100</f>
        <v>-5.4229840551652018</v>
      </c>
      <c r="BE53" s="208">
        <f>BE52/'2001'!BE52%-100</f>
        <v>3.9620893607924188</v>
      </c>
      <c r="BF53" s="216">
        <f>BF52/'2001'!BF52%-100</f>
        <v>2.8942619034980765</v>
      </c>
      <c r="BG53" s="208">
        <v>0</v>
      </c>
      <c r="BH53" s="208">
        <f>BH52/'2001'!BH52%-100</f>
        <v>-29.200000000000003</v>
      </c>
      <c r="BI53" s="208">
        <f>BI52/'2001'!BI52%-100</f>
        <v>-20.069745069745068</v>
      </c>
      <c r="BJ53" s="208">
        <f>BJ52/'2001'!BJ52%-100</f>
        <v>-29.804618117229126</v>
      </c>
      <c r="BK53" s="208">
        <f>BK52/'2001'!BK52%-100</f>
        <v>-42.124321062160533</v>
      </c>
      <c r="BL53" s="208">
        <f>BL52/'2001'!BL52%-100</f>
        <v>-66.257668711656436</v>
      </c>
      <c r="BM53" s="208">
        <f>BM52/'2001'!BM52%-100</f>
        <v>-6.6338164251207701</v>
      </c>
      <c r="BN53" s="208">
        <f>BN52/'2001'!BN52%-100</f>
        <v>-9.130543099152959</v>
      </c>
      <c r="BO53" s="208">
        <f>BO52/'2001'!BO52%-100</f>
        <v>-63.312368972746327</v>
      </c>
      <c r="BP53" s="208">
        <f>BP52/'2001'!BP52%-100</f>
        <v>-7.013047530288901</v>
      </c>
      <c r="BQ53" s="208">
        <f>BQ52/'2001'!BQ52%-100</f>
        <v>5.2036342842620371</v>
      </c>
      <c r="BR53" s="216">
        <f>BR52/'2001'!BR52%-100</f>
        <v>-2.7102973168963018</v>
      </c>
      <c r="BS53" s="208">
        <v>0</v>
      </c>
      <c r="BT53" s="208">
        <f>BT52/'2001'!BT52%-100</f>
        <v>-2.8913873952166398</v>
      </c>
      <c r="BU53" s="208">
        <f>BU52/'2001'!BU52%-100</f>
        <v>-10.386672151378022</v>
      </c>
      <c r="BV53" s="208">
        <f>BV52/'2001'!BV52%-100</f>
        <v>-14.150053879310349</v>
      </c>
      <c r="BW53" s="208">
        <f>BW52/'2001'!BW52%-100</f>
        <v>-9.128009794585779</v>
      </c>
      <c r="BX53" s="208">
        <f>BX52/'2001'!BX52%-100</f>
        <v>-4.9200492004920022</v>
      </c>
      <c r="BY53" s="208">
        <f>BY52/'2001'!BY52%-100</f>
        <v>5.3054211375271763</v>
      </c>
      <c r="BZ53" s="208">
        <f>BZ52/'2001'!BZ52%-100</f>
        <v>2.0390649777064738</v>
      </c>
      <c r="CA53" s="208">
        <f>CA52/'2001'!CA52%-100</f>
        <v>-12.212478075670262</v>
      </c>
      <c r="CB53" s="216">
        <f>CB52/'2001'!CB52%-100</f>
        <v>2.9350337307088097</v>
      </c>
      <c r="CC53" s="208">
        <f>CC52/'2001'!CC52%-100</f>
        <v>-5.7960974483315937</v>
      </c>
      <c r="CD53" s="208">
        <f>CD52/'2001'!CD52%-100</f>
        <v>-2.9227999576405921</v>
      </c>
      <c r="CE53" s="208">
        <f>CE52/'2001'!CE52%-100</f>
        <v>3.8194444444444429</v>
      </c>
      <c r="CF53" s="208">
        <f>CF52/'2001'!CF52%-100</f>
        <v>-0.35743298131599488</v>
      </c>
      <c r="CG53" s="208">
        <f>CG52/'2001'!CG52%-100</f>
        <v>-3.1192126567543283</v>
      </c>
      <c r="CH53" s="208">
        <f>CH52/'2001'!CH52%-100</f>
        <v>-3.494233855021335</v>
      </c>
      <c r="CI53" s="208">
        <f>CI52/'2001'!CI52%-100</f>
        <v>-10.792874607055538</v>
      </c>
      <c r="CJ53" s="208">
        <f>CJ52/'2001'!CJ52%-100</f>
        <v>-0.44329482304766543</v>
      </c>
      <c r="CK53" s="209">
        <f>CK52/'2001'!CK52%-100</f>
        <v>-5.4191680291551734</v>
      </c>
      <c r="CL53" s="217">
        <f>CL52/'2001'!CL52%-100</f>
        <v>-1.2053037282364016</v>
      </c>
    </row>
    <row r="54" spans="1:90">
      <c r="A54" s="93">
        <f>ROWS($A$3:A52)</f>
        <v>50</v>
      </c>
      <c r="B54" s="107" t="str">
        <f>"Änderung Anzahl Milchkühe "&amp;C95&amp;" / "&amp;C98</f>
        <v>Änderung Anzahl Milchkühe 2007 / 2001</v>
      </c>
      <c r="C54" s="313"/>
      <c r="D54" s="315" t="s">
        <v>4</v>
      </c>
      <c r="E54" s="317">
        <v>40441</v>
      </c>
      <c r="F54" s="221">
        <f>ROUND((F95-F98)/F98%,3)</f>
        <v>-15.074999999999999</v>
      </c>
      <c r="G54" s="222">
        <f>ROUND((G95-G98)/G98%,3)</f>
        <v>-16.677</v>
      </c>
      <c r="H54" s="222">
        <f>ROUND((H95-H98)/H98%,3)</f>
        <v>-15.555999999999999</v>
      </c>
      <c r="I54" s="223">
        <f>ROUND((I95-I98)/I98%,3)</f>
        <v>-12.976000000000001</v>
      </c>
      <c r="J54" s="346"/>
      <c r="K54" s="224">
        <f t="shared" si="74"/>
        <v>-13.090999999999999</v>
      </c>
      <c r="L54" s="225">
        <f t="shared" si="75"/>
        <v>-17.587</v>
      </c>
      <c r="M54" s="225">
        <f t="shared" si="76"/>
        <v>-20.67</v>
      </c>
      <c r="N54" s="225">
        <f t="shared" si="77"/>
        <v>-13.417999999999999</v>
      </c>
      <c r="O54" s="225">
        <f t="shared" si="78"/>
        <v>-11.045</v>
      </c>
      <c r="P54" s="222">
        <f>ROUND((P95-P98)/P98%,3)</f>
        <v>-23.215</v>
      </c>
      <c r="Q54" s="225">
        <f>'2007'!AU54</f>
        <v>-15.266999999999999</v>
      </c>
      <c r="R54" s="222">
        <f>ROUND((R95-R98)/R98%,3)</f>
        <v>-25.082999999999998</v>
      </c>
      <c r="S54" s="225">
        <f t="shared" si="79"/>
        <v>-19.544</v>
      </c>
      <c r="T54" s="225">
        <f t="shared" si="80"/>
        <v>-16.832000000000001</v>
      </c>
      <c r="U54" s="226">
        <f t="shared" si="81"/>
        <v>-12.271000000000001</v>
      </c>
      <c r="V54" s="222">
        <f>ROUND((V95-V98)/V98%,3)</f>
        <v>-32.606000000000002</v>
      </c>
      <c r="W54" s="225">
        <f t="shared" si="82"/>
        <v>-15.555999999999999</v>
      </c>
      <c r="X54" s="222">
        <f>ROUND((X95-X98)/X98%,3)</f>
        <v>-25.736999999999998</v>
      </c>
      <c r="Y54" s="222">
        <f>ROUND((Y95-Y98)/Y98%,3)</f>
        <v>-19.440000000000001</v>
      </c>
      <c r="Z54" s="225">
        <f t="shared" si="83"/>
        <v>-13.868</v>
      </c>
      <c r="AA54" s="222">
        <f>ROUND((AA95-AA98)/AA98%,3)</f>
        <v>-11.72</v>
      </c>
      <c r="AB54" s="226">
        <f t="shared" si="84"/>
        <v>-17.562000000000001</v>
      </c>
      <c r="AC54" s="225">
        <f t="shared" si="85"/>
        <v>-12.337999999999999</v>
      </c>
      <c r="AD54" s="225">
        <f t="shared" si="86"/>
        <v>-16.385999999999999</v>
      </c>
      <c r="AE54" s="222">
        <f>ROUND((AE95-AE98)/AE98%,3)</f>
        <v>-16.420999999999999</v>
      </c>
      <c r="AF54" s="225">
        <f t="shared" si="87"/>
        <v>-21.422000000000001</v>
      </c>
      <c r="AG54" s="225">
        <f t="shared" si="88"/>
        <v>-20.622</v>
      </c>
      <c r="AH54" s="225">
        <f t="shared" si="89"/>
        <v>-11.781000000000001</v>
      </c>
      <c r="AI54" s="225">
        <f t="shared" si="90"/>
        <v>-20.283999999999999</v>
      </c>
      <c r="AJ54" s="225">
        <f t="shared" si="91"/>
        <v>-9.4730000000000008</v>
      </c>
      <c r="AK54" s="226">
        <f t="shared" si="92"/>
        <v>-14.081</v>
      </c>
      <c r="AL54" s="225">
        <f t="shared" si="93"/>
        <v>-13.688000000000001</v>
      </c>
      <c r="AM54" s="225">
        <f t="shared" si="94"/>
        <v>-11.965999999999999</v>
      </c>
      <c r="AN54" s="225">
        <f t="shared" si="95"/>
        <v>-11.115</v>
      </c>
      <c r="AO54" s="225">
        <f t="shared" si="96"/>
        <v>-16.248000000000001</v>
      </c>
      <c r="AP54" s="225">
        <f t="shared" si="97"/>
        <v>-18.236000000000001</v>
      </c>
      <c r="AQ54" s="225">
        <f t="shared" si="98"/>
        <v>-15.907</v>
      </c>
      <c r="AR54" s="225">
        <f t="shared" si="99"/>
        <v>-15.773</v>
      </c>
      <c r="AS54" s="223">
        <f>ROUND((AS95-AS98)/AS98%,3)</f>
        <v>-15.255000000000001</v>
      </c>
      <c r="AT54" s="222">
        <f>IF(AT95=0,0,ROUND((AT95-AT98)/AT98%,3))</f>
        <v>0</v>
      </c>
      <c r="AU54" s="222">
        <f>IF(AU95=0,0,ROUND((AU95-AU98)/AU98%,3))</f>
        <v>-15.266999999999999</v>
      </c>
      <c r="AV54" s="222">
        <f t="shared" ref="AV54:CK54" si="103">IF(AV95=0,0,ROUND((AV95-AV98)/AV98%,3))</f>
        <v>-19.544</v>
      </c>
      <c r="AW54" s="222">
        <f t="shared" si="103"/>
        <v>-13.417999999999999</v>
      </c>
      <c r="AX54" s="222">
        <f t="shared" si="103"/>
        <v>-18.855</v>
      </c>
      <c r="AY54" s="222">
        <f t="shared" si="103"/>
        <v>-17.587</v>
      </c>
      <c r="AZ54" s="222">
        <f t="shared" si="103"/>
        <v>-43.232999999999997</v>
      </c>
      <c r="BA54" s="222">
        <f t="shared" si="103"/>
        <v>-22.393999999999998</v>
      </c>
      <c r="BB54" s="222">
        <f t="shared" si="103"/>
        <v>-16.832000000000001</v>
      </c>
      <c r="BC54" s="222">
        <f t="shared" si="103"/>
        <v>-12.271000000000001</v>
      </c>
      <c r="BD54" s="222">
        <f t="shared" si="103"/>
        <v>-20.67</v>
      </c>
      <c r="BE54" s="222">
        <f t="shared" si="103"/>
        <v>-11.045</v>
      </c>
      <c r="BF54" s="227">
        <f t="shared" si="103"/>
        <v>-13.090999999999999</v>
      </c>
      <c r="BG54" s="222">
        <f t="shared" si="103"/>
        <v>0</v>
      </c>
      <c r="BH54" s="222">
        <f t="shared" si="103"/>
        <v>-21.239000000000001</v>
      </c>
      <c r="BI54" s="222">
        <f t="shared" si="103"/>
        <v>-25.992999999999999</v>
      </c>
      <c r="BJ54" s="222">
        <f t="shared" si="103"/>
        <v>-32.606000000000002</v>
      </c>
      <c r="BK54" s="222">
        <f t="shared" si="103"/>
        <v>-19.922000000000001</v>
      </c>
      <c r="BL54" s="222">
        <f t="shared" si="103"/>
        <v>-58.973999999999997</v>
      </c>
      <c r="BM54" s="222">
        <f t="shared" si="103"/>
        <v>-13.868</v>
      </c>
      <c r="BN54" s="222">
        <f t="shared" si="103"/>
        <v>-19.097999999999999</v>
      </c>
      <c r="BO54" s="222">
        <f t="shared" si="103"/>
        <v>-30.972999999999999</v>
      </c>
      <c r="BP54" s="222">
        <f t="shared" si="103"/>
        <v>-17.562000000000001</v>
      </c>
      <c r="BQ54" s="222">
        <f t="shared" si="103"/>
        <v>-11.038</v>
      </c>
      <c r="BR54" s="227">
        <f t="shared" si="103"/>
        <v>-15.555999999999999</v>
      </c>
      <c r="BS54" s="222">
        <f t="shared" si="103"/>
        <v>0</v>
      </c>
      <c r="BT54" s="222">
        <f t="shared" si="103"/>
        <v>-16.420999999999999</v>
      </c>
      <c r="BU54" s="222">
        <f t="shared" si="103"/>
        <v>-16.385999999999999</v>
      </c>
      <c r="BV54" s="222">
        <f t="shared" si="103"/>
        <v>-20.622</v>
      </c>
      <c r="BW54" s="222">
        <f t="shared" si="103"/>
        <v>-20.283999999999999</v>
      </c>
      <c r="BX54" s="222">
        <f t="shared" si="103"/>
        <v>-12.337999999999999</v>
      </c>
      <c r="BY54" s="222">
        <f t="shared" si="103"/>
        <v>-9.4730000000000008</v>
      </c>
      <c r="BZ54" s="222">
        <f t="shared" si="103"/>
        <v>-11.781000000000001</v>
      </c>
      <c r="CA54" s="222">
        <f t="shared" si="103"/>
        <v>-21.422000000000001</v>
      </c>
      <c r="CB54" s="227">
        <f t="shared" si="103"/>
        <v>-14.081</v>
      </c>
      <c r="CC54" s="222">
        <f t="shared" si="103"/>
        <v>-16.248000000000001</v>
      </c>
      <c r="CD54" s="222">
        <f t="shared" si="103"/>
        <v>-18.236000000000001</v>
      </c>
      <c r="CE54" s="222">
        <f t="shared" si="103"/>
        <v>-13.688000000000001</v>
      </c>
      <c r="CF54" s="222">
        <f t="shared" si="103"/>
        <v>-15.468999999999999</v>
      </c>
      <c r="CG54" s="222">
        <f t="shared" si="103"/>
        <v>-15.246</v>
      </c>
      <c r="CH54" s="222">
        <f t="shared" si="103"/>
        <v>-11.965999999999999</v>
      </c>
      <c r="CI54" s="222">
        <f t="shared" si="103"/>
        <v>-15.773</v>
      </c>
      <c r="CJ54" s="222">
        <f t="shared" si="103"/>
        <v>-11.115</v>
      </c>
      <c r="CK54" s="223">
        <f t="shared" si="103"/>
        <v>-15.907</v>
      </c>
      <c r="CL54" s="228">
        <f>ROUND((CL95-CL98)/CL98%,3)</f>
        <v>-14.355</v>
      </c>
    </row>
    <row r="55" spans="1:90" ht="14.25">
      <c r="A55" s="93">
        <f>ROWS($A$3:A53)</f>
        <v>51</v>
      </c>
      <c r="B55" s="67" t="s">
        <v>224</v>
      </c>
      <c r="C55" s="243"/>
      <c r="D55" s="314"/>
      <c r="E55" s="333"/>
      <c r="F55" s="156"/>
      <c r="G55" s="177"/>
      <c r="H55" s="177"/>
      <c r="I55" s="178"/>
      <c r="J55" s="181"/>
      <c r="K55" s="156"/>
      <c r="L55" s="177"/>
      <c r="M55" s="177"/>
      <c r="N55" s="177"/>
      <c r="O55" s="177"/>
      <c r="P55" s="177"/>
      <c r="Q55" s="177"/>
      <c r="R55" s="177"/>
      <c r="S55" s="177"/>
      <c r="T55" s="177"/>
      <c r="U55" s="179"/>
      <c r="V55" s="177"/>
      <c r="W55" s="177"/>
      <c r="X55" s="177"/>
      <c r="Y55" s="177"/>
      <c r="Z55" s="177"/>
      <c r="AA55" s="177"/>
      <c r="AB55" s="179"/>
      <c r="AC55" s="177"/>
      <c r="AD55" s="177"/>
      <c r="AE55" s="177"/>
      <c r="AF55" s="177"/>
      <c r="AG55" s="177"/>
      <c r="AH55" s="177"/>
      <c r="AI55" s="177"/>
      <c r="AJ55" s="177"/>
      <c r="AK55" s="179"/>
      <c r="AL55" s="177"/>
      <c r="AM55" s="177"/>
      <c r="AN55" s="177"/>
      <c r="AO55" s="177"/>
      <c r="AP55" s="177"/>
      <c r="AQ55" s="177"/>
      <c r="AR55" s="177"/>
      <c r="AS55" s="178"/>
      <c r="AT55" s="177"/>
      <c r="AU55" s="177"/>
      <c r="AV55" s="177"/>
      <c r="AW55" s="177"/>
      <c r="AX55" s="177"/>
      <c r="AY55" s="177"/>
      <c r="AZ55" s="177"/>
      <c r="BA55" s="177"/>
      <c r="BB55" s="177"/>
      <c r="BC55" s="177"/>
      <c r="BD55" s="177"/>
      <c r="BE55" s="177"/>
      <c r="BF55" s="179"/>
      <c r="BG55" s="177"/>
      <c r="BH55" s="177"/>
      <c r="BI55" s="177"/>
      <c r="BJ55" s="177"/>
      <c r="BK55" s="177"/>
      <c r="BL55" s="177"/>
      <c r="BM55" s="177"/>
      <c r="BN55" s="177"/>
      <c r="BO55" s="177"/>
      <c r="BP55" s="177"/>
      <c r="BQ55" s="177"/>
      <c r="BR55" s="179"/>
      <c r="BS55" s="177"/>
      <c r="BT55" s="177"/>
      <c r="BU55" s="177"/>
      <c r="BV55" s="177"/>
      <c r="BW55" s="177"/>
      <c r="BX55" s="177"/>
      <c r="BY55" s="177"/>
      <c r="BZ55" s="177"/>
      <c r="CA55" s="177"/>
      <c r="CB55" s="179"/>
      <c r="CC55" s="177"/>
      <c r="CD55" s="177"/>
      <c r="CE55" s="177"/>
      <c r="CF55" s="177"/>
      <c r="CG55" s="177"/>
      <c r="CH55" s="177"/>
      <c r="CI55" s="177"/>
      <c r="CJ55" s="177"/>
      <c r="CK55" s="178"/>
      <c r="CL55" s="180"/>
    </row>
    <row r="56" spans="1:90">
      <c r="A56" s="93">
        <f>ROWS($A$3:A54)</f>
        <v>52</v>
      </c>
      <c r="B56" s="106" t="s">
        <v>57</v>
      </c>
      <c r="C56" s="242">
        <v>2006</v>
      </c>
      <c r="D56" s="314" t="s">
        <v>14</v>
      </c>
      <c r="E56" s="316">
        <v>40441</v>
      </c>
      <c r="F56" s="156">
        <v>262</v>
      </c>
      <c r="G56" s="177">
        <v>238</v>
      </c>
      <c r="H56" s="177">
        <v>268</v>
      </c>
      <c r="I56" s="178">
        <v>312</v>
      </c>
      <c r="J56" s="181"/>
      <c r="K56" s="156">
        <f t="shared" ref="K56:K63" si="104">BF56</f>
        <v>41</v>
      </c>
      <c r="L56" s="177">
        <f t="shared" ref="L56:L63" si="105">AY56</f>
        <v>24</v>
      </c>
      <c r="M56" s="177">
        <f t="shared" ref="M56:M63" si="106">BD56</f>
        <v>33</v>
      </c>
      <c r="N56" s="177">
        <f t="shared" ref="N56:N63" si="107">AW56</f>
        <v>19</v>
      </c>
      <c r="O56" s="177">
        <f t="shared" ref="O56:O63" si="108">BE56</f>
        <v>11</v>
      </c>
      <c r="P56" s="177">
        <f t="shared" ref="P56:P63" si="109">AZ56+BA56</f>
        <v>22</v>
      </c>
      <c r="Q56" s="177">
        <f>'2007'!AU56</f>
        <v>19</v>
      </c>
      <c r="R56" s="177">
        <f t="shared" ref="R56:R63" si="110">AT56+AX56</f>
        <v>27</v>
      </c>
      <c r="S56" s="177">
        <f t="shared" ref="S56:S63" si="111">AV56</f>
        <v>27</v>
      </c>
      <c r="T56" s="177">
        <f t="shared" ref="T56:U63" si="112">BB56</f>
        <v>21</v>
      </c>
      <c r="U56" s="179">
        <f t="shared" si="112"/>
        <v>18</v>
      </c>
      <c r="V56" s="177">
        <f t="shared" ref="V56:V63" si="113">BG56+BJ56</f>
        <v>32</v>
      </c>
      <c r="W56" s="177">
        <f t="shared" ref="W56:W63" si="114">BR56</f>
        <v>18</v>
      </c>
      <c r="X56" s="177">
        <f t="shared" ref="X56:X63" si="115">BH56+BI56</f>
        <v>47</v>
      </c>
      <c r="Y56" s="177">
        <f t="shared" ref="Y56:Y63" si="116">BK56+BL56+BN56</f>
        <v>61</v>
      </c>
      <c r="Z56" s="177">
        <f t="shared" ref="Z56:Z63" si="117">BM56</f>
        <v>25</v>
      </c>
      <c r="AA56" s="177">
        <f t="shared" ref="AA56:AA63" si="118">BO56+BQ56</f>
        <v>29</v>
      </c>
      <c r="AB56" s="179">
        <f t="shared" ref="AB56:AB63" si="119">BP56</f>
        <v>26</v>
      </c>
      <c r="AC56" s="177">
        <f t="shared" ref="AC56:AC63" si="120">BX56</f>
        <v>24</v>
      </c>
      <c r="AD56" s="177">
        <f t="shared" ref="AD56:AD63" si="121">BU56</f>
        <v>19</v>
      </c>
      <c r="AE56" s="177">
        <f t="shared" ref="AE56:AE63" si="122">BS56+BT56</f>
        <v>49</v>
      </c>
      <c r="AF56" s="177">
        <f t="shared" ref="AF56:AF63" si="123">CA56</f>
        <v>25</v>
      </c>
      <c r="AG56" s="177">
        <f t="shared" ref="AG56:AG63" si="124">BV56</f>
        <v>23</v>
      </c>
      <c r="AH56" s="177">
        <f t="shared" ref="AH56:AH63" si="125">BZ56</f>
        <v>59</v>
      </c>
      <c r="AI56" s="177">
        <f t="shared" ref="AI56:AI63" si="126">BW56</f>
        <v>10</v>
      </c>
      <c r="AJ56" s="177">
        <f t="shared" ref="AJ56:AJ63" si="127">BY56</f>
        <v>23</v>
      </c>
      <c r="AK56" s="179">
        <f t="shared" ref="AK56:AK63" si="128">CB56</f>
        <v>36</v>
      </c>
      <c r="AL56" s="177">
        <f t="shared" ref="AL56:AL63" si="129">CE56</f>
        <v>53</v>
      </c>
      <c r="AM56" s="177">
        <f t="shared" ref="AM56:AM63" si="130">CH56</f>
        <v>30</v>
      </c>
      <c r="AN56" s="177">
        <f t="shared" ref="AN56:AN63" si="131">CJ56</f>
        <v>75</v>
      </c>
      <c r="AO56" s="177">
        <f t="shared" ref="AO56:AP63" si="132">CC56</f>
        <v>42</v>
      </c>
      <c r="AP56" s="177">
        <f t="shared" si="132"/>
        <v>22</v>
      </c>
      <c r="AQ56" s="177">
        <f t="shared" ref="AQ56:AQ63" si="133">CK56</f>
        <v>25</v>
      </c>
      <c r="AR56" s="177">
        <f t="shared" ref="AR56:AR63" si="134">CI56</f>
        <v>31</v>
      </c>
      <c r="AS56" s="178">
        <f t="shared" ref="AS56:AS63" si="135">CF56+CG56</f>
        <v>34</v>
      </c>
      <c r="AT56" s="186">
        <v>7</v>
      </c>
      <c r="AU56" s="177">
        <v>19</v>
      </c>
      <c r="AV56" s="177">
        <v>27</v>
      </c>
      <c r="AW56" s="181">
        <v>19</v>
      </c>
      <c r="AX56" s="177">
        <v>20</v>
      </c>
      <c r="AY56" s="177">
        <v>24</v>
      </c>
      <c r="AZ56" s="177">
        <v>4</v>
      </c>
      <c r="BA56" s="177">
        <v>18</v>
      </c>
      <c r="BB56" s="177">
        <v>21</v>
      </c>
      <c r="BC56" s="177">
        <v>18</v>
      </c>
      <c r="BD56" s="177">
        <v>33</v>
      </c>
      <c r="BE56" s="177">
        <v>11</v>
      </c>
      <c r="BF56" s="179">
        <v>41</v>
      </c>
      <c r="BG56" s="177">
        <v>5</v>
      </c>
      <c r="BH56" s="177">
        <v>7</v>
      </c>
      <c r="BI56" s="177">
        <v>40</v>
      </c>
      <c r="BJ56" s="177">
        <v>27</v>
      </c>
      <c r="BK56" s="177">
        <v>5</v>
      </c>
      <c r="BL56" s="177">
        <v>9</v>
      </c>
      <c r="BM56" s="177">
        <v>25</v>
      </c>
      <c r="BN56" s="177">
        <v>47</v>
      </c>
      <c r="BO56" s="177">
        <v>3</v>
      </c>
      <c r="BP56" s="177">
        <v>26</v>
      </c>
      <c r="BQ56" s="177">
        <v>26</v>
      </c>
      <c r="BR56" s="179">
        <v>18</v>
      </c>
      <c r="BS56" s="177">
        <v>6</v>
      </c>
      <c r="BT56" s="177">
        <v>43</v>
      </c>
      <c r="BU56" s="177">
        <v>19</v>
      </c>
      <c r="BV56" s="177">
        <v>23</v>
      </c>
      <c r="BW56" s="177">
        <v>10</v>
      </c>
      <c r="BX56" s="177">
        <v>24</v>
      </c>
      <c r="BY56" s="177">
        <v>23</v>
      </c>
      <c r="BZ56" s="177">
        <v>59</v>
      </c>
      <c r="CA56" s="177">
        <v>25</v>
      </c>
      <c r="CB56" s="179">
        <v>36</v>
      </c>
      <c r="CC56" s="177">
        <v>42</v>
      </c>
      <c r="CD56" s="177">
        <v>22</v>
      </c>
      <c r="CE56" s="177">
        <v>53</v>
      </c>
      <c r="CF56" s="177">
        <v>1</v>
      </c>
      <c r="CG56" s="177">
        <v>33</v>
      </c>
      <c r="CH56" s="177">
        <v>30</v>
      </c>
      <c r="CI56" s="177">
        <v>31</v>
      </c>
      <c r="CJ56" s="177">
        <v>75</v>
      </c>
      <c r="CK56" s="178">
        <v>25</v>
      </c>
      <c r="CL56" s="180">
        <v>1080</v>
      </c>
    </row>
    <row r="57" spans="1:90">
      <c r="A57" s="93">
        <f>ROWS($A$3:A55)</f>
        <v>53</v>
      </c>
      <c r="B57" s="106"/>
      <c r="C57" s="243"/>
      <c r="D57" s="314" t="s">
        <v>1</v>
      </c>
      <c r="E57" s="333"/>
      <c r="F57" s="156">
        <v>14267</v>
      </c>
      <c r="G57" s="177">
        <v>19565</v>
      </c>
      <c r="H57" s="177">
        <v>30701</v>
      </c>
      <c r="I57" s="178">
        <v>19492</v>
      </c>
      <c r="J57" s="181"/>
      <c r="K57" s="156">
        <f t="shared" si="104"/>
        <v>1872</v>
      </c>
      <c r="L57" s="177">
        <f t="shared" si="105"/>
        <v>772</v>
      </c>
      <c r="M57" s="177">
        <f t="shared" si="106"/>
        <v>1042</v>
      </c>
      <c r="N57" s="177">
        <f t="shared" si="107"/>
        <v>2872</v>
      </c>
      <c r="O57" s="177">
        <f t="shared" si="108"/>
        <v>509</v>
      </c>
      <c r="P57" s="177">
        <f t="shared" si="109"/>
        <v>454</v>
      </c>
      <c r="Q57" s="177">
        <f>'2007'!AU57</f>
        <v>709</v>
      </c>
      <c r="R57" s="177">
        <f t="shared" si="110"/>
        <v>1904</v>
      </c>
      <c r="S57" s="177">
        <f t="shared" si="111"/>
        <v>2242</v>
      </c>
      <c r="T57" s="177">
        <f t="shared" si="112"/>
        <v>494</v>
      </c>
      <c r="U57" s="179">
        <f t="shared" si="112"/>
        <v>1397</v>
      </c>
      <c r="V57" s="177">
        <f t="shared" si="113"/>
        <v>4357</v>
      </c>
      <c r="W57" s="177">
        <f t="shared" si="114"/>
        <v>2885</v>
      </c>
      <c r="X57" s="177">
        <f t="shared" si="115"/>
        <v>3870</v>
      </c>
      <c r="Y57" s="177">
        <f t="shared" si="116"/>
        <v>3718</v>
      </c>
      <c r="Z57" s="177">
        <f t="shared" si="117"/>
        <v>902</v>
      </c>
      <c r="AA57" s="177">
        <f t="shared" si="118"/>
        <v>1555</v>
      </c>
      <c r="AB57" s="179">
        <f t="shared" si="119"/>
        <v>2278</v>
      </c>
      <c r="AC57" s="177">
        <f t="shared" si="120"/>
        <v>1949</v>
      </c>
      <c r="AD57" s="177">
        <f t="shared" si="121"/>
        <v>3808</v>
      </c>
      <c r="AE57" s="177">
        <f t="shared" si="122"/>
        <v>5875</v>
      </c>
      <c r="AF57" s="177">
        <f t="shared" si="123"/>
        <v>5582</v>
      </c>
      <c r="AG57" s="177">
        <f t="shared" si="124"/>
        <v>3485</v>
      </c>
      <c r="AH57" s="177">
        <f t="shared" si="125"/>
        <v>4251</v>
      </c>
      <c r="AI57" s="177">
        <f t="shared" si="126"/>
        <v>436</v>
      </c>
      <c r="AJ57" s="177">
        <f t="shared" si="127"/>
        <v>1880</v>
      </c>
      <c r="AK57" s="179">
        <f t="shared" si="128"/>
        <v>3435</v>
      </c>
      <c r="AL57" s="177">
        <f t="shared" si="129"/>
        <v>1545</v>
      </c>
      <c r="AM57" s="177">
        <f t="shared" si="130"/>
        <v>3563</v>
      </c>
      <c r="AN57" s="177">
        <f t="shared" si="131"/>
        <v>5909</v>
      </c>
      <c r="AO57" s="177">
        <f t="shared" si="132"/>
        <v>1980</v>
      </c>
      <c r="AP57" s="177">
        <f t="shared" si="132"/>
        <v>1184</v>
      </c>
      <c r="AQ57" s="177">
        <f t="shared" si="133"/>
        <v>2011</v>
      </c>
      <c r="AR57" s="177">
        <f t="shared" si="134"/>
        <v>1485</v>
      </c>
      <c r="AS57" s="178">
        <f t="shared" si="135"/>
        <v>1815</v>
      </c>
      <c r="AT57" s="177">
        <v>1360</v>
      </c>
      <c r="AU57" s="177">
        <v>709</v>
      </c>
      <c r="AV57" s="177">
        <v>2242</v>
      </c>
      <c r="AW57" s="177">
        <v>2872</v>
      </c>
      <c r="AX57" s="177">
        <v>544</v>
      </c>
      <c r="AY57" s="177">
        <v>772</v>
      </c>
      <c r="AZ57" s="177">
        <v>95</v>
      </c>
      <c r="BA57" s="177">
        <v>359</v>
      </c>
      <c r="BB57" s="177">
        <v>494</v>
      </c>
      <c r="BC57" s="177">
        <v>1397</v>
      </c>
      <c r="BD57" s="177">
        <v>1042</v>
      </c>
      <c r="BE57" s="177">
        <v>509</v>
      </c>
      <c r="BF57" s="179">
        <v>1872</v>
      </c>
      <c r="BG57" s="177">
        <v>438</v>
      </c>
      <c r="BH57" s="177">
        <v>646</v>
      </c>
      <c r="BI57" s="177">
        <v>3224</v>
      </c>
      <c r="BJ57" s="177">
        <v>3919</v>
      </c>
      <c r="BK57" s="177">
        <v>84</v>
      </c>
      <c r="BL57" s="177">
        <v>691</v>
      </c>
      <c r="BM57" s="177">
        <v>902</v>
      </c>
      <c r="BN57" s="177">
        <v>2943</v>
      </c>
      <c r="BO57" s="177">
        <v>198</v>
      </c>
      <c r="BP57" s="177">
        <v>2278</v>
      </c>
      <c r="BQ57" s="177">
        <v>1357</v>
      </c>
      <c r="BR57" s="179">
        <v>2885</v>
      </c>
      <c r="BS57" s="177">
        <v>655</v>
      </c>
      <c r="BT57" s="177">
        <v>5220</v>
      </c>
      <c r="BU57" s="177">
        <v>3808</v>
      </c>
      <c r="BV57" s="177">
        <v>3485</v>
      </c>
      <c r="BW57" s="177">
        <v>436</v>
      </c>
      <c r="BX57" s="177">
        <v>1949</v>
      </c>
      <c r="BY57" s="177">
        <v>1880</v>
      </c>
      <c r="BZ57" s="177">
        <v>4251</v>
      </c>
      <c r="CA57" s="177">
        <v>5582</v>
      </c>
      <c r="CB57" s="179">
        <v>3435</v>
      </c>
      <c r="CC57" s="177">
        <v>1980</v>
      </c>
      <c r="CD57" s="177">
        <v>1184</v>
      </c>
      <c r="CE57" s="177">
        <v>1545</v>
      </c>
      <c r="CF57" s="177">
        <v>39</v>
      </c>
      <c r="CG57" s="177">
        <v>1776</v>
      </c>
      <c r="CH57" s="177">
        <v>3563</v>
      </c>
      <c r="CI57" s="177">
        <v>1485</v>
      </c>
      <c r="CJ57" s="177">
        <v>5909</v>
      </c>
      <c r="CK57" s="178">
        <v>2011</v>
      </c>
      <c r="CL57" s="180">
        <v>84025</v>
      </c>
    </row>
    <row r="58" spans="1:90">
      <c r="A58" s="93">
        <f>ROWS($A$3:A56)</f>
        <v>54</v>
      </c>
      <c r="B58" s="106" t="s">
        <v>249</v>
      </c>
      <c r="C58" s="243">
        <v>2007</v>
      </c>
      <c r="D58" s="314" t="s">
        <v>14</v>
      </c>
      <c r="E58" s="337"/>
      <c r="F58" s="156"/>
      <c r="G58" s="177"/>
      <c r="H58" s="177"/>
      <c r="I58" s="178"/>
      <c r="J58" s="181"/>
      <c r="K58" s="156">
        <f t="shared" si="104"/>
        <v>0</v>
      </c>
      <c r="L58" s="177">
        <f t="shared" si="105"/>
        <v>0</v>
      </c>
      <c r="M58" s="177">
        <f t="shared" si="106"/>
        <v>0</v>
      </c>
      <c r="N58" s="177">
        <f t="shared" si="107"/>
        <v>0</v>
      </c>
      <c r="O58" s="177">
        <f t="shared" si="108"/>
        <v>0</v>
      </c>
      <c r="P58" s="177">
        <f t="shared" si="109"/>
        <v>0</v>
      </c>
      <c r="Q58" s="177">
        <f>'2007'!AU58</f>
        <v>0</v>
      </c>
      <c r="R58" s="177">
        <f t="shared" si="110"/>
        <v>0</v>
      </c>
      <c r="S58" s="177">
        <f t="shared" si="111"/>
        <v>0</v>
      </c>
      <c r="T58" s="177">
        <f t="shared" si="112"/>
        <v>0</v>
      </c>
      <c r="U58" s="179">
        <f t="shared" si="112"/>
        <v>0</v>
      </c>
      <c r="V58" s="177">
        <f t="shared" si="113"/>
        <v>0</v>
      </c>
      <c r="W58" s="177">
        <f t="shared" si="114"/>
        <v>0</v>
      </c>
      <c r="X58" s="177">
        <f t="shared" si="115"/>
        <v>0</v>
      </c>
      <c r="Y58" s="177">
        <f t="shared" si="116"/>
        <v>0</v>
      </c>
      <c r="Z58" s="177">
        <f t="shared" si="117"/>
        <v>0</v>
      </c>
      <c r="AA58" s="177">
        <f t="shared" si="118"/>
        <v>0</v>
      </c>
      <c r="AB58" s="179">
        <f t="shared" si="119"/>
        <v>0</v>
      </c>
      <c r="AC58" s="177">
        <f t="shared" si="120"/>
        <v>0</v>
      </c>
      <c r="AD58" s="177">
        <f t="shared" si="121"/>
        <v>0</v>
      </c>
      <c r="AE58" s="177">
        <f t="shared" si="122"/>
        <v>0</v>
      </c>
      <c r="AF58" s="177">
        <f t="shared" si="123"/>
        <v>0</v>
      </c>
      <c r="AG58" s="177">
        <f t="shared" si="124"/>
        <v>0</v>
      </c>
      <c r="AH58" s="177">
        <f t="shared" si="125"/>
        <v>0</v>
      </c>
      <c r="AI58" s="177">
        <f t="shared" si="126"/>
        <v>0</v>
      </c>
      <c r="AJ58" s="177">
        <f t="shared" si="127"/>
        <v>0</v>
      </c>
      <c r="AK58" s="179">
        <f t="shared" si="128"/>
        <v>0</v>
      </c>
      <c r="AL58" s="177">
        <f t="shared" si="129"/>
        <v>0</v>
      </c>
      <c r="AM58" s="177">
        <f t="shared" si="130"/>
        <v>0</v>
      </c>
      <c r="AN58" s="177">
        <f t="shared" si="131"/>
        <v>0</v>
      </c>
      <c r="AO58" s="177">
        <f t="shared" si="132"/>
        <v>0</v>
      </c>
      <c r="AP58" s="177">
        <f t="shared" si="132"/>
        <v>0</v>
      </c>
      <c r="AQ58" s="177">
        <f t="shared" si="133"/>
        <v>0</v>
      </c>
      <c r="AR58" s="177">
        <f t="shared" si="134"/>
        <v>0</v>
      </c>
      <c r="AS58" s="178">
        <f t="shared" si="135"/>
        <v>0</v>
      </c>
      <c r="AT58" s="186"/>
      <c r="AU58" s="177"/>
      <c r="AV58" s="181"/>
      <c r="AW58" s="181"/>
      <c r="AX58" s="181"/>
      <c r="AY58" s="181"/>
      <c r="AZ58" s="181"/>
      <c r="BA58" s="181"/>
      <c r="BB58" s="181"/>
      <c r="BC58" s="181"/>
      <c r="BD58" s="181"/>
      <c r="BE58" s="181"/>
      <c r="BF58" s="179"/>
      <c r="BG58" s="181"/>
      <c r="BH58" s="181"/>
      <c r="BI58" s="181"/>
      <c r="BJ58" s="181"/>
      <c r="BK58" s="181"/>
      <c r="BL58" s="181"/>
      <c r="BM58" s="181"/>
      <c r="BN58" s="181"/>
      <c r="BO58" s="181"/>
      <c r="BP58" s="181"/>
      <c r="BQ58" s="181"/>
      <c r="BR58" s="179"/>
      <c r="BS58" s="181"/>
      <c r="BT58" s="181"/>
      <c r="BU58" s="181"/>
      <c r="BV58" s="181"/>
      <c r="BW58" s="181"/>
      <c r="BX58" s="181"/>
      <c r="BY58" s="181"/>
      <c r="BZ58" s="181"/>
      <c r="CA58" s="181"/>
      <c r="CB58" s="179"/>
      <c r="CC58" s="181"/>
      <c r="CD58" s="181"/>
      <c r="CE58" s="181"/>
      <c r="CF58" s="181"/>
      <c r="CG58" s="181"/>
      <c r="CH58" s="181"/>
      <c r="CI58" s="181"/>
      <c r="CJ58" s="181"/>
      <c r="CK58" s="178"/>
      <c r="CL58" s="180">
        <v>260</v>
      </c>
    </row>
    <row r="59" spans="1:90">
      <c r="A59" s="93">
        <f>ROWS($A$3:A57)</f>
        <v>55</v>
      </c>
      <c r="B59" s="106"/>
      <c r="C59" s="243"/>
      <c r="D59" s="314" t="s">
        <v>1</v>
      </c>
      <c r="E59" s="333"/>
      <c r="F59" s="156"/>
      <c r="G59" s="177"/>
      <c r="H59" s="177"/>
      <c r="I59" s="178"/>
      <c r="J59" s="181"/>
      <c r="K59" s="156">
        <f t="shared" si="104"/>
        <v>0</v>
      </c>
      <c r="L59" s="177">
        <f t="shared" si="105"/>
        <v>0</v>
      </c>
      <c r="M59" s="177">
        <f t="shared" si="106"/>
        <v>0</v>
      </c>
      <c r="N59" s="177">
        <f t="shared" si="107"/>
        <v>0</v>
      </c>
      <c r="O59" s="177">
        <f t="shared" si="108"/>
        <v>0</v>
      </c>
      <c r="P59" s="177">
        <f t="shared" si="109"/>
        <v>0</v>
      </c>
      <c r="Q59" s="177">
        <f>'2007'!AU59</f>
        <v>0</v>
      </c>
      <c r="R59" s="177">
        <f t="shared" si="110"/>
        <v>0</v>
      </c>
      <c r="S59" s="177">
        <f t="shared" si="111"/>
        <v>0</v>
      </c>
      <c r="T59" s="177">
        <f t="shared" si="112"/>
        <v>0</v>
      </c>
      <c r="U59" s="179">
        <f t="shared" si="112"/>
        <v>0</v>
      </c>
      <c r="V59" s="177">
        <f t="shared" si="113"/>
        <v>0</v>
      </c>
      <c r="W59" s="177">
        <f t="shared" si="114"/>
        <v>0</v>
      </c>
      <c r="X59" s="177">
        <f t="shared" si="115"/>
        <v>0</v>
      </c>
      <c r="Y59" s="177">
        <f t="shared" si="116"/>
        <v>0</v>
      </c>
      <c r="Z59" s="177">
        <f t="shared" si="117"/>
        <v>0</v>
      </c>
      <c r="AA59" s="177">
        <f t="shared" si="118"/>
        <v>0</v>
      </c>
      <c r="AB59" s="179">
        <f t="shared" si="119"/>
        <v>0</v>
      </c>
      <c r="AC59" s="177">
        <f t="shared" si="120"/>
        <v>0</v>
      </c>
      <c r="AD59" s="177">
        <f t="shared" si="121"/>
        <v>0</v>
      </c>
      <c r="AE59" s="177">
        <f t="shared" si="122"/>
        <v>0</v>
      </c>
      <c r="AF59" s="177">
        <f t="shared" si="123"/>
        <v>0</v>
      </c>
      <c r="AG59" s="177">
        <f t="shared" si="124"/>
        <v>0</v>
      </c>
      <c r="AH59" s="177">
        <f t="shared" si="125"/>
        <v>0</v>
      </c>
      <c r="AI59" s="177">
        <f t="shared" si="126"/>
        <v>0</v>
      </c>
      <c r="AJ59" s="177">
        <f t="shared" si="127"/>
        <v>0</v>
      </c>
      <c r="AK59" s="179">
        <f t="shared" si="128"/>
        <v>0</v>
      </c>
      <c r="AL59" s="177">
        <f t="shared" si="129"/>
        <v>0</v>
      </c>
      <c r="AM59" s="177">
        <f t="shared" si="130"/>
        <v>0</v>
      </c>
      <c r="AN59" s="177">
        <f t="shared" si="131"/>
        <v>0</v>
      </c>
      <c r="AO59" s="177">
        <f t="shared" si="132"/>
        <v>0</v>
      </c>
      <c r="AP59" s="177">
        <f t="shared" si="132"/>
        <v>0</v>
      </c>
      <c r="AQ59" s="177">
        <f t="shared" si="133"/>
        <v>0</v>
      </c>
      <c r="AR59" s="177">
        <f t="shared" si="134"/>
        <v>0</v>
      </c>
      <c r="AS59" s="178">
        <f t="shared" si="135"/>
        <v>0</v>
      </c>
      <c r="AT59" s="177"/>
      <c r="AU59" s="177"/>
      <c r="AV59" s="177"/>
      <c r="AW59" s="177"/>
      <c r="AX59" s="177"/>
      <c r="AY59" s="177"/>
      <c r="AZ59" s="177"/>
      <c r="BA59" s="177"/>
      <c r="BB59" s="177"/>
      <c r="BC59" s="177"/>
      <c r="BD59" s="177"/>
      <c r="BE59" s="177"/>
      <c r="BF59" s="179"/>
      <c r="BG59" s="177"/>
      <c r="BH59" s="177"/>
      <c r="BI59" s="177"/>
      <c r="BJ59" s="177"/>
      <c r="BK59" s="177"/>
      <c r="BL59" s="177"/>
      <c r="BM59" s="177"/>
      <c r="BN59" s="177"/>
      <c r="BO59" s="177"/>
      <c r="BP59" s="177"/>
      <c r="BQ59" s="177"/>
      <c r="BR59" s="179"/>
      <c r="BS59" s="177"/>
      <c r="BT59" s="177"/>
      <c r="BU59" s="177"/>
      <c r="BV59" s="177"/>
      <c r="BW59" s="177"/>
      <c r="BX59" s="177"/>
      <c r="BY59" s="177"/>
      <c r="BZ59" s="177"/>
      <c r="CA59" s="177"/>
      <c r="CB59" s="179"/>
      <c r="CC59" s="177"/>
      <c r="CD59" s="177"/>
      <c r="CE59" s="177"/>
      <c r="CF59" s="177"/>
      <c r="CG59" s="177"/>
      <c r="CH59" s="177"/>
      <c r="CI59" s="177"/>
      <c r="CJ59" s="177"/>
      <c r="CK59" s="178"/>
      <c r="CL59" s="180">
        <v>426219</v>
      </c>
    </row>
    <row r="60" spans="1:90">
      <c r="A60" s="93">
        <f>ROWS($A$3:A58)</f>
        <v>56</v>
      </c>
      <c r="B60" s="106" t="s">
        <v>250</v>
      </c>
      <c r="C60" s="243">
        <v>2007</v>
      </c>
      <c r="D60" s="314" t="s">
        <v>14</v>
      </c>
      <c r="E60" s="337"/>
      <c r="F60" s="156"/>
      <c r="G60" s="181"/>
      <c r="H60" s="181"/>
      <c r="I60" s="178"/>
      <c r="J60" s="181"/>
      <c r="K60" s="156">
        <f t="shared" si="104"/>
        <v>0</v>
      </c>
      <c r="L60" s="177">
        <f t="shared" si="105"/>
        <v>0</v>
      </c>
      <c r="M60" s="177">
        <f t="shared" si="106"/>
        <v>0</v>
      </c>
      <c r="N60" s="177">
        <f t="shared" si="107"/>
        <v>0</v>
      </c>
      <c r="O60" s="177">
        <f t="shared" si="108"/>
        <v>0</v>
      </c>
      <c r="P60" s="177">
        <f t="shared" si="109"/>
        <v>0</v>
      </c>
      <c r="Q60" s="177">
        <f>'2007'!AU60</f>
        <v>0</v>
      </c>
      <c r="R60" s="177">
        <f t="shared" si="110"/>
        <v>0</v>
      </c>
      <c r="S60" s="177">
        <f t="shared" si="111"/>
        <v>0</v>
      </c>
      <c r="T60" s="177">
        <f t="shared" si="112"/>
        <v>0</v>
      </c>
      <c r="U60" s="179">
        <f t="shared" si="112"/>
        <v>0</v>
      </c>
      <c r="V60" s="177">
        <f t="shared" si="113"/>
        <v>0</v>
      </c>
      <c r="W60" s="177">
        <f t="shared" si="114"/>
        <v>0</v>
      </c>
      <c r="X60" s="177">
        <f t="shared" si="115"/>
        <v>0</v>
      </c>
      <c r="Y60" s="177">
        <f t="shared" si="116"/>
        <v>0</v>
      </c>
      <c r="Z60" s="177">
        <f t="shared" si="117"/>
        <v>0</v>
      </c>
      <c r="AA60" s="177">
        <f t="shared" si="118"/>
        <v>0</v>
      </c>
      <c r="AB60" s="179">
        <f t="shared" si="119"/>
        <v>0</v>
      </c>
      <c r="AC60" s="177">
        <f t="shared" si="120"/>
        <v>0</v>
      </c>
      <c r="AD60" s="177">
        <f t="shared" si="121"/>
        <v>0</v>
      </c>
      <c r="AE60" s="177">
        <f t="shared" si="122"/>
        <v>0</v>
      </c>
      <c r="AF60" s="177">
        <f t="shared" si="123"/>
        <v>0</v>
      </c>
      <c r="AG60" s="177">
        <f t="shared" si="124"/>
        <v>0</v>
      </c>
      <c r="AH60" s="177">
        <f t="shared" si="125"/>
        <v>0</v>
      </c>
      <c r="AI60" s="177">
        <f t="shared" si="126"/>
        <v>0</v>
      </c>
      <c r="AJ60" s="177">
        <f t="shared" si="127"/>
        <v>0</v>
      </c>
      <c r="AK60" s="179">
        <f t="shared" si="128"/>
        <v>0</v>
      </c>
      <c r="AL60" s="177">
        <f t="shared" si="129"/>
        <v>0</v>
      </c>
      <c r="AM60" s="177">
        <f t="shared" si="130"/>
        <v>0</v>
      </c>
      <c r="AN60" s="177">
        <f t="shared" si="131"/>
        <v>0</v>
      </c>
      <c r="AO60" s="177">
        <f t="shared" si="132"/>
        <v>0</v>
      </c>
      <c r="AP60" s="177">
        <f t="shared" si="132"/>
        <v>0</v>
      </c>
      <c r="AQ60" s="177">
        <f t="shared" si="133"/>
        <v>0</v>
      </c>
      <c r="AR60" s="177">
        <f t="shared" si="134"/>
        <v>0</v>
      </c>
      <c r="AS60" s="178">
        <f t="shared" si="135"/>
        <v>0</v>
      </c>
      <c r="AT60" s="177"/>
      <c r="AU60" s="181"/>
      <c r="AV60" s="181"/>
      <c r="AW60" s="181"/>
      <c r="AX60" s="181"/>
      <c r="AY60" s="181"/>
      <c r="AZ60" s="181"/>
      <c r="BA60" s="181"/>
      <c r="BB60" s="181"/>
      <c r="BC60" s="181"/>
      <c r="BD60" s="181"/>
      <c r="BE60" s="181"/>
      <c r="BF60" s="179"/>
      <c r="BG60" s="181"/>
      <c r="BH60" s="181"/>
      <c r="BI60" s="181"/>
      <c r="BJ60" s="181"/>
      <c r="BK60" s="181"/>
      <c r="BL60" s="181"/>
      <c r="BM60" s="181"/>
      <c r="BN60" s="181"/>
      <c r="BO60" s="181"/>
      <c r="BP60" s="181"/>
      <c r="BQ60" s="181"/>
      <c r="BR60" s="179"/>
      <c r="BS60" s="181"/>
      <c r="BT60" s="181"/>
      <c r="BU60" s="181"/>
      <c r="BV60" s="181"/>
      <c r="BW60" s="181"/>
      <c r="BX60" s="181"/>
      <c r="BY60" s="181"/>
      <c r="BZ60" s="181"/>
      <c r="CA60" s="181"/>
      <c r="CB60" s="179"/>
      <c r="CC60" s="181"/>
      <c r="CD60" s="181"/>
      <c r="CE60" s="181"/>
      <c r="CF60" s="181"/>
      <c r="CG60" s="181"/>
      <c r="CH60" s="181"/>
      <c r="CI60" s="181"/>
      <c r="CJ60" s="181"/>
      <c r="CK60" s="178"/>
      <c r="CL60" s="180">
        <v>90</v>
      </c>
    </row>
    <row r="61" spans="1:90">
      <c r="A61" s="93">
        <f>ROWS($A$3:A59)</f>
        <v>57</v>
      </c>
      <c r="B61" s="106"/>
      <c r="C61" s="243"/>
      <c r="D61" s="314" t="s">
        <v>1</v>
      </c>
      <c r="E61" s="333"/>
      <c r="F61" s="156"/>
      <c r="G61" s="177"/>
      <c r="H61" s="177"/>
      <c r="I61" s="178"/>
      <c r="J61" s="181"/>
      <c r="K61" s="156">
        <f t="shared" si="104"/>
        <v>0</v>
      </c>
      <c r="L61" s="177">
        <f t="shared" si="105"/>
        <v>0</v>
      </c>
      <c r="M61" s="177">
        <f t="shared" si="106"/>
        <v>0</v>
      </c>
      <c r="N61" s="177">
        <f t="shared" si="107"/>
        <v>0</v>
      </c>
      <c r="O61" s="177">
        <f t="shared" si="108"/>
        <v>0</v>
      </c>
      <c r="P61" s="177">
        <f t="shared" si="109"/>
        <v>0</v>
      </c>
      <c r="Q61" s="177">
        <f>'2007'!AU61</f>
        <v>0</v>
      </c>
      <c r="R61" s="177">
        <f t="shared" si="110"/>
        <v>0</v>
      </c>
      <c r="S61" s="177">
        <f t="shared" si="111"/>
        <v>0</v>
      </c>
      <c r="T61" s="177">
        <f t="shared" si="112"/>
        <v>0</v>
      </c>
      <c r="U61" s="179">
        <f t="shared" si="112"/>
        <v>0</v>
      </c>
      <c r="V61" s="177">
        <f t="shared" si="113"/>
        <v>0</v>
      </c>
      <c r="W61" s="177">
        <f t="shared" si="114"/>
        <v>0</v>
      </c>
      <c r="X61" s="177">
        <f t="shared" si="115"/>
        <v>0</v>
      </c>
      <c r="Y61" s="177">
        <f t="shared" si="116"/>
        <v>0</v>
      </c>
      <c r="Z61" s="177">
        <f t="shared" si="117"/>
        <v>0</v>
      </c>
      <c r="AA61" s="177">
        <f t="shared" si="118"/>
        <v>0</v>
      </c>
      <c r="AB61" s="179">
        <f t="shared" si="119"/>
        <v>0</v>
      </c>
      <c r="AC61" s="177">
        <f t="shared" si="120"/>
        <v>0</v>
      </c>
      <c r="AD61" s="177">
        <f t="shared" si="121"/>
        <v>0</v>
      </c>
      <c r="AE61" s="177">
        <f t="shared" si="122"/>
        <v>0</v>
      </c>
      <c r="AF61" s="177">
        <f t="shared" si="123"/>
        <v>0</v>
      </c>
      <c r="AG61" s="177">
        <f t="shared" si="124"/>
        <v>0</v>
      </c>
      <c r="AH61" s="177">
        <f t="shared" si="125"/>
        <v>0</v>
      </c>
      <c r="AI61" s="177">
        <f t="shared" si="126"/>
        <v>0</v>
      </c>
      <c r="AJ61" s="177">
        <f t="shared" si="127"/>
        <v>0</v>
      </c>
      <c r="AK61" s="179">
        <f t="shared" si="128"/>
        <v>0</v>
      </c>
      <c r="AL61" s="177">
        <f t="shared" si="129"/>
        <v>0</v>
      </c>
      <c r="AM61" s="177">
        <f t="shared" si="130"/>
        <v>0</v>
      </c>
      <c r="AN61" s="177">
        <f t="shared" si="131"/>
        <v>0</v>
      </c>
      <c r="AO61" s="177">
        <f t="shared" si="132"/>
        <v>0</v>
      </c>
      <c r="AP61" s="177">
        <f t="shared" si="132"/>
        <v>0</v>
      </c>
      <c r="AQ61" s="177">
        <f t="shared" si="133"/>
        <v>0</v>
      </c>
      <c r="AR61" s="177">
        <f t="shared" si="134"/>
        <v>0</v>
      </c>
      <c r="AS61" s="178">
        <f t="shared" si="135"/>
        <v>0</v>
      </c>
      <c r="AT61" s="177"/>
      <c r="AU61" s="177"/>
      <c r="AV61" s="177"/>
      <c r="AW61" s="177"/>
      <c r="AX61" s="177"/>
      <c r="AY61" s="177"/>
      <c r="AZ61" s="177"/>
      <c r="BA61" s="177"/>
      <c r="BB61" s="177"/>
      <c r="BC61" s="177"/>
      <c r="BD61" s="177"/>
      <c r="BE61" s="177"/>
      <c r="BF61" s="179"/>
      <c r="BG61" s="177"/>
      <c r="BH61" s="177"/>
      <c r="BI61" s="177"/>
      <c r="BJ61" s="177"/>
      <c r="BK61" s="177"/>
      <c r="BL61" s="177"/>
      <c r="BM61" s="177"/>
      <c r="BN61" s="177"/>
      <c r="BO61" s="177"/>
      <c r="BP61" s="177"/>
      <c r="BQ61" s="177"/>
      <c r="BR61" s="179"/>
      <c r="BS61" s="177"/>
      <c r="BT61" s="177"/>
      <c r="BU61" s="177"/>
      <c r="BV61" s="177"/>
      <c r="BW61" s="177"/>
      <c r="BX61" s="177"/>
      <c r="BY61" s="177"/>
      <c r="BZ61" s="177"/>
      <c r="CA61" s="177"/>
      <c r="CB61" s="179"/>
      <c r="CC61" s="177"/>
      <c r="CD61" s="177"/>
      <c r="CE61" s="177"/>
      <c r="CF61" s="177"/>
      <c r="CG61" s="177"/>
      <c r="CH61" s="177"/>
      <c r="CI61" s="177"/>
      <c r="CJ61" s="177"/>
      <c r="CK61" s="178"/>
      <c r="CL61" s="180">
        <v>395957</v>
      </c>
    </row>
    <row r="62" spans="1:90">
      <c r="A62" s="93">
        <f>ROWS($A$3:A60)</f>
        <v>58</v>
      </c>
      <c r="B62" s="106" t="s">
        <v>59</v>
      </c>
      <c r="C62" s="242">
        <v>2006</v>
      </c>
      <c r="D62" s="314" t="s">
        <v>14</v>
      </c>
      <c r="E62" s="316">
        <v>40442</v>
      </c>
      <c r="F62" s="156">
        <v>817</v>
      </c>
      <c r="G62" s="177">
        <v>404</v>
      </c>
      <c r="H62" s="177">
        <v>1019</v>
      </c>
      <c r="I62" s="178">
        <v>387</v>
      </c>
      <c r="J62" s="181"/>
      <c r="K62" s="156">
        <f t="shared" si="104"/>
        <v>86</v>
      </c>
      <c r="L62" s="177">
        <f t="shared" si="105"/>
        <v>192</v>
      </c>
      <c r="M62" s="177">
        <f t="shared" si="106"/>
        <v>53</v>
      </c>
      <c r="N62" s="177">
        <f t="shared" si="107"/>
        <v>40</v>
      </c>
      <c r="O62" s="177">
        <f t="shared" si="108"/>
        <v>15</v>
      </c>
      <c r="P62" s="177">
        <f t="shared" si="109"/>
        <v>123</v>
      </c>
      <c r="Q62" s="177">
        <f>'2007'!AU62</f>
        <v>29</v>
      </c>
      <c r="R62" s="177">
        <f t="shared" si="110"/>
        <v>52</v>
      </c>
      <c r="S62" s="177">
        <f t="shared" si="111"/>
        <v>45</v>
      </c>
      <c r="T62" s="177">
        <f t="shared" si="112"/>
        <v>82</v>
      </c>
      <c r="U62" s="179">
        <f t="shared" si="112"/>
        <v>100</v>
      </c>
      <c r="V62" s="177">
        <f t="shared" si="113"/>
        <v>76</v>
      </c>
      <c r="W62" s="177">
        <f t="shared" si="114"/>
        <v>52</v>
      </c>
      <c r="X62" s="177">
        <f t="shared" si="115"/>
        <v>53</v>
      </c>
      <c r="Y62" s="177">
        <f t="shared" si="116"/>
        <v>66</v>
      </c>
      <c r="Z62" s="177">
        <f t="shared" si="117"/>
        <v>44</v>
      </c>
      <c r="AA62" s="177">
        <f t="shared" si="118"/>
        <v>50</v>
      </c>
      <c r="AB62" s="179">
        <f t="shared" si="119"/>
        <v>63</v>
      </c>
      <c r="AC62" s="177">
        <f t="shared" si="120"/>
        <v>123</v>
      </c>
      <c r="AD62" s="177">
        <f t="shared" si="121"/>
        <v>78</v>
      </c>
      <c r="AE62" s="177">
        <f t="shared" si="122"/>
        <v>129</v>
      </c>
      <c r="AF62" s="177">
        <f t="shared" si="123"/>
        <v>129</v>
      </c>
      <c r="AG62" s="177">
        <f t="shared" si="124"/>
        <v>147</v>
      </c>
      <c r="AH62" s="177">
        <f t="shared" si="125"/>
        <v>103</v>
      </c>
      <c r="AI62" s="177">
        <f t="shared" si="126"/>
        <v>43</v>
      </c>
      <c r="AJ62" s="177">
        <f t="shared" si="127"/>
        <v>70</v>
      </c>
      <c r="AK62" s="179">
        <f t="shared" si="128"/>
        <v>197</v>
      </c>
      <c r="AL62" s="177">
        <f t="shared" si="129"/>
        <v>42</v>
      </c>
      <c r="AM62" s="177">
        <f t="shared" si="130"/>
        <v>53</v>
      </c>
      <c r="AN62" s="177">
        <f t="shared" si="131"/>
        <v>80</v>
      </c>
      <c r="AO62" s="177">
        <f t="shared" si="132"/>
        <v>45</v>
      </c>
      <c r="AP62" s="177">
        <f t="shared" si="132"/>
        <v>14</v>
      </c>
      <c r="AQ62" s="177">
        <f t="shared" si="133"/>
        <v>67</v>
      </c>
      <c r="AR62" s="177">
        <f t="shared" si="134"/>
        <v>42</v>
      </c>
      <c r="AS62" s="178">
        <f t="shared" si="135"/>
        <v>44</v>
      </c>
      <c r="AT62" s="181">
        <v>4</v>
      </c>
      <c r="AU62" s="181">
        <v>29</v>
      </c>
      <c r="AV62" s="181">
        <v>45</v>
      </c>
      <c r="AW62" s="181">
        <v>40</v>
      </c>
      <c r="AX62" s="181">
        <v>48</v>
      </c>
      <c r="AY62" s="177">
        <v>192</v>
      </c>
      <c r="AZ62" s="177">
        <v>8</v>
      </c>
      <c r="BA62" s="177">
        <v>115</v>
      </c>
      <c r="BB62" s="177">
        <v>82</v>
      </c>
      <c r="BC62" s="177">
        <v>100</v>
      </c>
      <c r="BD62" s="177">
        <v>53</v>
      </c>
      <c r="BE62" s="177">
        <v>15</v>
      </c>
      <c r="BF62" s="179">
        <v>86</v>
      </c>
      <c r="BG62" s="177">
        <v>9</v>
      </c>
      <c r="BH62" s="177">
        <v>4</v>
      </c>
      <c r="BI62" s="177">
        <v>49</v>
      </c>
      <c r="BJ62" s="177">
        <v>67</v>
      </c>
      <c r="BK62" s="177">
        <v>9</v>
      </c>
      <c r="BL62" s="177">
        <v>3</v>
      </c>
      <c r="BM62" s="177">
        <v>44</v>
      </c>
      <c r="BN62" s="177">
        <v>54</v>
      </c>
      <c r="BO62" s="177">
        <v>6</v>
      </c>
      <c r="BP62" s="177">
        <v>63</v>
      </c>
      <c r="BQ62" s="177">
        <v>44</v>
      </c>
      <c r="BR62" s="179">
        <v>52</v>
      </c>
      <c r="BS62" s="177">
        <v>12</v>
      </c>
      <c r="BT62" s="177">
        <v>117</v>
      </c>
      <c r="BU62" s="177">
        <v>78</v>
      </c>
      <c r="BV62" s="177">
        <v>147</v>
      </c>
      <c r="BW62" s="177">
        <v>43</v>
      </c>
      <c r="BX62" s="177">
        <v>123</v>
      </c>
      <c r="BY62" s="177">
        <v>70</v>
      </c>
      <c r="BZ62" s="177">
        <v>103</v>
      </c>
      <c r="CA62" s="177">
        <v>129</v>
      </c>
      <c r="CB62" s="179">
        <v>197</v>
      </c>
      <c r="CC62" s="177">
        <v>45</v>
      </c>
      <c r="CD62" s="177">
        <v>14</v>
      </c>
      <c r="CE62" s="177">
        <v>42</v>
      </c>
      <c r="CF62" s="177">
        <v>4</v>
      </c>
      <c r="CG62" s="177">
        <v>40</v>
      </c>
      <c r="CH62" s="177">
        <v>53</v>
      </c>
      <c r="CI62" s="177">
        <v>42</v>
      </c>
      <c r="CJ62" s="177">
        <v>80</v>
      </c>
      <c r="CK62" s="178">
        <v>67</v>
      </c>
      <c r="CL62" s="180">
        <v>2627</v>
      </c>
    </row>
    <row r="63" spans="1:90">
      <c r="A63" s="93">
        <f>ROWS($A$3:A61)</f>
        <v>59</v>
      </c>
      <c r="B63" s="106"/>
      <c r="C63" s="243"/>
      <c r="D63" s="314" t="s">
        <v>1</v>
      </c>
      <c r="E63" s="333"/>
      <c r="F63" s="156">
        <v>279763</v>
      </c>
      <c r="G63" s="177">
        <v>194567</v>
      </c>
      <c r="H63" s="177">
        <v>142071</v>
      </c>
      <c r="I63" s="178">
        <v>291144</v>
      </c>
      <c r="J63" s="181"/>
      <c r="K63" s="156">
        <f t="shared" si="104"/>
        <v>39519</v>
      </c>
      <c r="L63" s="177">
        <f t="shared" si="105"/>
        <v>7643</v>
      </c>
      <c r="M63" s="177">
        <f t="shared" si="106"/>
        <v>52162</v>
      </c>
      <c r="N63" s="177">
        <f t="shared" si="107"/>
        <v>19602</v>
      </c>
      <c r="O63" s="177">
        <f t="shared" si="108"/>
        <v>59210</v>
      </c>
      <c r="P63" s="177">
        <f t="shared" si="109"/>
        <v>27159</v>
      </c>
      <c r="Q63" s="177">
        <f>'2007'!AU63</f>
        <v>28662</v>
      </c>
      <c r="R63" s="177">
        <f t="shared" si="110"/>
        <v>16873</v>
      </c>
      <c r="S63" s="177">
        <f t="shared" si="111"/>
        <v>9242</v>
      </c>
      <c r="T63" s="177">
        <f t="shared" si="112"/>
        <v>13465</v>
      </c>
      <c r="U63" s="179">
        <f t="shared" si="112"/>
        <v>6227</v>
      </c>
      <c r="V63" s="177">
        <f t="shared" si="113"/>
        <v>16336</v>
      </c>
      <c r="W63" s="177">
        <f t="shared" si="114"/>
        <v>16529</v>
      </c>
      <c r="X63" s="177">
        <f t="shared" si="115"/>
        <v>42088</v>
      </c>
      <c r="Y63" s="177">
        <f t="shared" si="116"/>
        <v>39804</v>
      </c>
      <c r="Z63" s="177">
        <f t="shared" si="117"/>
        <v>30183</v>
      </c>
      <c r="AA63" s="177">
        <f t="shared" si="118"/>
        <v>28342</v>
      </c>
      <c r="AB63" s="179">
        <f t="shared" si="119"/>
        <v>21286</v>
      </c>
      <c r="AC63" s="177">
        <f t="shared" si="120"/>
        <v>17125</v>
      </c>
      <c r="AD63" s="177">
        <f t="shared" si="121"/>
        <v>7670</v>
      </c>
      <c r="AE63" s="177">
        <f t="shared" si="122"/>
        <v>18825</v>
      </c>
      <c r="AF63" s="177">
        <f t="shared" si="123"/>
        <v>8694</v>
      </c>
      <c r="AG63" s="177">
        <f t="shared" si="124"/>
        <v>18154</v>
      </c>
      <c r="AH63" s="177">
        <f t="shared" si="125"/>
        <v>20552</v>
      </c>
      <c r="AI63" s="177">
        <f t="shared" si="126"/>
        <v>16996</v>
      </c>
      <c r="AJ63" s="177">
        <f t="shared" si="127"/>
        <v>13838</v>
      </c>
      <c r="AK63" s="179">
        <f t="shared" si="128"/>
        <v>20216</v>
      </c>
      <c r="AL63" s="177">
        <f t="shared" si="129"/>
        <v>27351</v>
      </c>
      <c r="AM63" s="177">
        <f t="shared" si="130"/>
        <v>26438</v>
      </c>
      <c r="AN63" s="177">
        <f t="shared" si="131"/>
        <v>18899</v>
      </c>
      <c r="AO63" s="177">
        <f t="shared" si="132"/>
        <v>65653</v>
      </c>
      <c r="AP63" s="177">
        <f t="shared" si="132"/>
        <v>10482</v>
      </c>
      <c r="AQ63" s="177">
        <f t="shared" si="133"/>
        <v>40540</v>
      </c>
      <c r="AR63" s="177">
        <f t="shared" si="134"/>
        <v>8379</v>
      </c>
      <c r="AS63" s="178">
        <f t="shared" si="135"/>
        <v>93401</v>
      </c>
      <c r="AT63" s="177">
        <v>1262</v>
      </c>
      <c r="AU63" s="177">
        <v>28662</v>
      </c>
      <c r="AV63" s="177">
        <v>9242</v>
      </c>
      <c r="AW63" s="177">
        <v>19602</v>
      </c>
      <c r="AX63" s="177">
        <v>15611</v>
      </c>
      <c r="AY63" s="177">
        <v>7643</v>
      </c>
      <c r="AZ63" s="177">
        <v>2749</v>
      </c>
      <c r="BA63" s="177">
        <v>24410</v>
      </c>
      <c r="BB63" s="177">
        <v>13465</v>
      </c>
      <c r="BC63" s="177">
        <v>6227</v>
      </c>
      <c r="BD63" s="177">
        <v>52162</v>
      </c>
      <c r="BE63" s="177">
        <v>59210</v>
      </c>
      <c r="BF63" s="179">
        <v>39519</v>
      </c>
      <c r="BG63" s="177">
        <v>2570</v>
      </c>
      <c r="BH63" s="177">
        <v>5709</v>
      </c>
      <c r="BI63" s="177">
        <v>36379</v>
      </c>
      <c r="BJ63" s="177">
        <v>13766</v>
      </c>
      <c r="BK63" s="177">
        <v>4141</v>
      </c>
      <c r="BL63" s="177">
        <v>2955</v>
      </c>
      <c r="BM63" s="177">
        <v>30183</v>
      </c>
      <c r="BN63" s="177">
        <v>32708</v>
      </c>
      <c r="BO63" s="177">
        <v>3500</v>
      </c>
      <c r="BP63" s="177">
        <v>21286</v>
      </c>
      <c r="BQ63" s="177">
        <v>24842</v>
      </c>
      <c r="BR63" s="179">
        <v>16529</v>
      </c>
      <c r="BS63" s="177">
        <v>2001</v>
      </c>
      <c r="BT63" s="177">
        <v>16824</v>
      </c>
      <c r="BU63" s="177">
        <v>7670</v>
      </c>
      <c r="BV63" s="177">
        <v>18154</v>
      </c>
      <c r="BW63" s="177">
        <v>16996</v>
      </c>
      <c r="BX63" s="177">
        <v>17125</v>
      </c>
      <c r="BY63" s="177">
        <v>13838</v>
      </c>
      <c r="BZ63" s="177">
        <v>20552</v>
      </c>
      <c r="CA63" s="177">
        <v>8694</v>
      </c>
      <c r="CB63" s="179">
        <v>20216</v>
      </c>
      <c r="CC63" s="177">
        <v>65653</v>
      </c>
      <c r="CD63" s="177">
        <v>10482</v>
      </c>
      <c r="CE63" s="177">
        <v>27351</v>
      </c>
      <c r="CF63" s="177">
        <v>884</v>
      </c>
      <c r="CG63" s="177">
        <v>92517</v>
      </c>
      <c r="CH63" s="177">
        <v>26438</v>
      </c>
      <c r="CI63" s="177">
        <v>8379</v>
      </c>
      <c r="CJ63" s="177">
        <v>18899</v>
      </c>
      <c r="CK63" s="178">
        <v>40540</v>
      </c>
      <c r="CL63" s="180">
        <v>907545</v>
      </c>
    </row>
    <row r="64" spans="1:90">
      <c r="A64" s="93">
        <f>ROWS($A$3:A62)</f>
        <v>60</v>
      </c>
      <c r="B64" s="67" t="s">
        <v>86</v>
      </c>
      <c r="C64" s="243"/>
      <c r="D64" s="314"/>
      <c r="E64" s="333"/>
      <c r="F64" s="156"/>
      <c r="G64" s="177"/>
      <c r="H64" s="177"/>
      <c r="I64" s="178"/>
      <c r="J64" s="181"/>
      <c r="K64" s="156"/>
      <c r="L64" s="177"/>
      <c r="M64" s="177"/>
      <c r="N64" s="177"/>
      <c r="O64" s="177"/>
      <c r="P64" s="177"/>
      <c r="Q64" s="177"/>
      <c r="R64" s="177"/>
      <c r="S64" s="177"/>
      <c r="T64" s="177"/>
      <c r="U64" s="179"/>
      <c r="V64" s="177"/>
      <c r="W64" s="177"/>
      <c r="X64" s="177"/>
      <c r="Y64" s="177"/>
      <c r="Z64" s="177"/>
      <c r="AA64" s="177"/>
      <c r="AB64" s="179"/>
      <c r="AC64" s="177"/>
      <c r="AD64" s="177"/>
      <c r="AE64" s="177"/>
      <c r="AF64" s="177"/>
      <c r="AG64" s="177"/>
      <c r="AH64" s="177"/>
      <c r="AI64" s="177"/>
      <c r="AJ64" s="177"/>
      <c r="AK64" s="179"/>
      <c r="AL64" s="177"/>
      <c r="AM64" s="177"/>
      <c r="AN64" s="177"/>
      <c r="AO64" s="177"/>
      <c r="AP64" s="177"/>
      <c r="AQ64" s="177"/>
      <c r="AR64" s="177"/>
      <c r="AS64" s="178"/>
      <c r="AT64" s="177"/>
      <c r="AU64" s="177"/>
      <c r="AV64" s="177"/>
      <c r="AW64" s="177"/>
      <c r="AX64" s="177"/>
      <c r="AY64" s="177"/>
      <c r="AZ64" s="177"/>
      <c r="BA64" s="177"/>
      <c r="BB64" s="177"/>
      <c r="BC64" s="177"/>
      <c r="BD64" s="177"/>
      <c r="BE64" s="177"/>
      <c r="BF64" s="179"/>
      <c r="BG64" s="177"/>
      <c r="BH64" s="177"/>
      <c r="BI64" s="177"/>
      <c r="BJ64" s="177"/>
      <c r="BK64" s="177"/>
      <c r="BL64" s="177"/>
      <c r="BM64" s="177"/>
      <c r="BN64" s="177"/>
      <c r="BO64" s="177"/>
      <c r="BP64" s="177"/>
      <c r="BQ64" s="177"/>
      <c r="BR64" s="179"/>
      <c r="BS64" s="177"/>
      <c r="BT64" s="177"/>
      <c r="BU64" s="177"/>
      <c r="BV64" s="177"/>
      <c r="BW64" s="177"/>
      <c r="BX64" s="177"/>
      <c r="BY64" s="177"/>
      <c r="BZ64" s="177"/>
      <c r="CA64" s="177"/>
      <c r="CB64" s="179"/>
      <c r="CC64" s="177"/>
      <c r="CD64" s="177"/>
      <c r="CE64" s="177"/>
      <c r="CF64" s="177"/>
      <c r="CG64" s="177"/>
      <c r="CH64" s="177"/>
      <c r="CI64" s="177"/>
      <c r="CJ64" s="177"/>
      <c r="CK64" s="178"/>
      <c r="CL64" s="180"/>
    </row>
    <row r="65" spans="1:90">
      <c r="A65" s="93">
        <f>ROWS($A$3:A63)</f>
        <v>61</v>
      </c>
      <c r="B65" s="62" t="s">
        <v>85</v>
      </c>
      <c r="C65" s="242">
        <v>2007</v>
      </c>
      <c r="D65" s="314" t="s">
        <v>62</v>
      </c>
      <c r="E65" s="333"/>
      <c r="F65" s="182">
        <f t="shared" ref="F65:AK65" si="136">F35*F93%</f>
        <v>283474.8</v>
      </c>
      <c r="G65" s="183">
        <f t="shared" si="136"/>
        <v>75407.850000000006</v>
      </c>
      <c r="H65" s="183">
        <f t="shared" si="136"/>
        <v>225835.62</v>
      </c>
      <c r="I65" s="184">
        <f t="shared" si="136"/>
        <v>233346.96000000002</v>
      </c>
      <c r="J65" s="181">
        <f t="shared" si="136"/>
        <v>0</v>
      </c>
      <c r="K65" s="185">
        <f t="shared" si="136"/>
        <v>64119.909999999996</v>
      </c>
      <c r="L65" s="186">
        <f t="shared" si="136"/>
        <v>16787.84</v>
      </c>
      <c r="M65" s="186">
        <f t="shared" si="136"/>
        <v>45707.64</v>
      </c>
      <c r="N65" s="186">
        <f t="shared" si="136"/>
        <v>21340.5</v>
      </c>
      <c r="O65" s="186">
        <f t="shared" si="136"/>
        <v>13707.2</v>
      </c>
      <c r="P65" s="177">
        <f t="shared" si="136"/>
        <v>4384.1600000000008</v>
      </c>
      <c r="Q65" s="186">
        <f t="shared" si="136"/>
        <v>11514.78</v>
      </c>
      <c r="R65" s="186">
        <f t="shared" si="136"/>
        <v>0</v>
      </c>
      <c r="S65" s="186">
        <f t="shared" si="136"/>
        <v>11758.109999999999</v>
      </c>
      <c r="T65" s="186">
        <f t="shared" si="136"/>
        <v>21397.56</v>
      </c>
      <c r="U65" s="187">
        <f t="shared" si="136"/>
        <v>72096.39</v>
      </c>
      <c r="V65" s="186">
        <f t="shared" si="136"/>
        <v>2989.0499999999997</v>
      </c>
      <c r="W65" s="186">
        <f t="shared" si="136"/>
        <v>16013.779999999999</v>
      </c>
      <c r="X65" s="186">
        <f t="shared" si="136"/>
        <v>1495.8799999999999</v>
      </c>
      <c r="Y65" s="186">
        <f t="shared" si="136"/>
        <v>2712.2599999999998</v>
      </c>
      <c r="Z65" s="186">
        <f t="shared" si="136"/>
        <v>30455.100000000002</v>
      </c>
      <c r="AA65" s="186">
        <f t="shared" si="136"/>
        <v>8445.6200000000008</v>
      </c>
      <c r="AB65" s="187">
        <f t="shared" si="136"/>
        <v>12982.56</v>
      </c>
      <c r="AC65" s="186">
        <f t="shared" si="136"/>
        <v>37891.199999999997</v>
      </c>
      <c r="AD65" s="186">
        <f t="shared" si="136"/>
        <v>10548.26</v>
      </c>
      <c r="AE65" s="186">
        <f t="shared" si="136"/>
        <v>25633.859999999997</v>
      </c>
      <c r="AF65" s="186">
        <f t="shared" si="136"/>
        <v>13626.419999999998</v>
      </c>
      <c r="AG65" s="186">
        <f t="shared" si="136"/>
        <v>22344.38</v>
      </c>
      <c r="AH65" s="186">
        <f t="shared" si="136"/>
        <v>20359.719999999998</v>
      </c>
      <c r="AI65" s="186">
        <f t="shared" si="136"/>
        <v>30854</v>
      </c>
      <c r="AJ65" s="186">
        <f t="shared" si="136"/>
        <v>24325</v>
      </c>
      <c r="AK65" s="187">
        <f t="shared" si="136"/>
        <v>39167</v>
      </c>
      <c r="AL65" s="186">
        <f t="shared" ref="AL65:BQ65" si="137">AL35*AL93%</f>
        <v>33426.82</v>
      </c>
      <c r="AM65" s="186">
        <f t="shared" si="137"/>
        <v>11637.3</v>
      </c>
      <c r="AN65" s="186">
        <f t="shared" si="137"/>
        <v>50914.719999999994</v>
      </c>
      <c r="AO65" s="186">
        <f t="shared" si="137"/>
        <v>42481.04</v>
      </c>
      <c r="AP65" s="186">
        <f t="shared" si="137"/>
        <v>10530.04</v>
      </c>
      <c r="AQ65" s="186">
        <f t="shared" si="137"/>
        <v>40282.129999999997</v>
      </c>
      <c r="AR65" s="186">
        <f t="shared" si="137"/>
        <v>8855.34</v>
      </c>
      <c r="AS65" s="190">
        <f t="shared" si="137"/>
        <v>33516.32</v>
      </c>
      <c r="AT65" s="186">
        <f t="shared" si="137"/>
        <v>0</v>
      </c>
      <c r="AU65" s="183">
        <f t="shared" si="137"/>
        <v>11514.78</v>
      </c>
      <c r="AV65" s="183">
        <f t="shared" si="137"/>
        <v>11758.109999999999</v>
      </c>
      <c r="AW65" s="183">
        <f t="shared" si="137"/>
        <v>21340.5</v>
      </c>
      <c r="AX65" s="183">
        <f t="shared" si="137"/>
        <v>0</v>
      </c>
      <c r="AY65" s="183">
        <f t="shared" si="137"/>
        <v>16787.84</v>
      </c>
      <c r="AZ65" s="183">
        <f t="shared" si="137"/>
        <v>0</v>
      </c>
      <c r="BA65" s="183">
        <f t="shared" si="137"/>
        <v>4384.16</v>
      </c>
      <c r="BB65" s="183">
        <f t="shared" si="137"/>
        <v>21397.56</v>
      </c>
      <c r="BC65" s="183">
        <f t="shared" si="137"/>
        <v>72096.39</v>
      </c>
      <c r="BD65" s="183">
        <f t="shared" si="137"/>
        <v>45707.64</v>
      </c>
      <c r="BE65" s="183">
        <f t="shared" si="137"/>
        <v>13707.2</v>
      </c>
      <c r="BF65" s="188">
        <f t="shared" si="137"/>
        <v>64119.909999999996</v>
      </c>
      <c r="BG65" s="183">
        <f t="shared" si="137"/>
        <v>1204.05</v>
      </c>
      <c r="BH65" s="183">
        <f t="shared" si="137"/>
        <v>0</v>
      </c>
      <c r="BI65" s="183">
        <f t="shared" si="137"/>
        <v>1495.88</v>
      </c>
      <c r="BJ65" s="183">
        <f t="shared" si="137"/>
        <v>1785</v>
      </c>
      <c r="BK65" s="183">
        <f t="shared" si="137"/>
        <v>18.38</v>
      </c>
      <c r="BL65" s="183">
        <f t="shared" si="137"/>
        <v>0</v>
      </c>
      <c r="BM65" s="183">
        <f t="shared" si="137"/>
        <v>30455.100000000002</v>
      </c>
      <c r="BN65" s="183">
        <f t="shared" si="137"/>
        <v>2693.88</v>
      </c>
      <c r="BO65" s="183">
        <f t="shared" si="137"/>
        <v>208.10999999999999</v>
      </c>
      <c r="BP65" s="183">
        <f t="shared" si="137"/>
        <v>12982.56</v>
      </c>
      <c r="BQ65" s="183">
        <f t="shared" si="137"/>
        <v>8237.51</v>
      </c>
      <c r="BR65" s="188">
        <f t="shared" ref="BR65:CL65" si="138">BR35*BR93%</f>
        <v>16013.779999999999</v>
      </c>
      <c r="BS65" s="183">
        <f t="shared" si="138"/>
        <v>748.86</v>
      </c>
      <c r="BT65" s="183">
        <f t="shared" si="138"/>
        <v>24885</v>
      </c>
      <c r="BU65" s="183">
        <f t="shared" si="138"/>
        <v>10548.26</v>
      </c>
      <c r="BV65" s="183">
        <f t="shared" si="138"/>
        <v>22344.38</v>
      </c>
      <c r="BW65" s="183">
        <f t="shared" si="138"/>
        <v>30854</v>
      </c>
      <c r="BX65" s="183">
        <f t="shared" si="138"/>
        <v>37891.199999999997</v>
      </c>
      <c r="BY65" s="183">
        <f t="shared" si="138"/>
        <v>24325</v>
      </c>
      <c r="BZ65" s="183">
        <f t="shared" si="138"/>
        <v>20359.719999999998</v>
      </c>
      <c r="CA65" s="183">
        <f t="shared" si="138"/>
        <v>13626.419999999998</v>
      </c>
      <c r="CB65" s="188">
        <f t="shared" si="138"/>
        <v>39167</v>
      </c>
      <c r="CC65" s="183">
        <f t="shared" si="138"/>
        <v>42481.04</v>
      </c>
      <c r="CD65" s="183">
        <f t="shared" si="138"/>
        <v>10530.04</v>
      </c>
      <c r="CE65" s="183">
        <f t="shared" si="138"/>
        <v>33426.82</v>
      </c>
      <c r="CF65" s="183">
        <f t="shared" si="138"/>
        <v>334.6</v>
      </c>
      <c r="CG65" s="183">
        <f t="shared" si="138"/>
        <v>33181.72</v>
      </c>
      <c r="CH65" s="183">
        <f t="shared" si="138"/>
        <v>11637.3</v>
      </c>
      <c r="CI65" s="183">
        <f t="shared" si="138"/>
        <v>8855.34</v>
      </c>
      <c r="CJ65" s="183">
        <f t="shared" si="138"/>
        <v>50914.719999999994</v>
      </c>
      <c r="CK65" s="184">
        <f t="shared" si="138"/>
        <v>40282.129999999997</v>
      </c>
      <c r="CL65" s="189">
        <f t="shared" si="138"/>
        <v>818338.73999999987</v>
      </c>
    </row>
    <row r="66" spans="1:90">
      <c r="A66" s="93">
        <f>ROWS($A$3:A64)</f>
        <v>62</v>
      </c>
      <c r="B66" s="106" t="s">
        <v>281</v>
      </c>
      <c r="C66" s="243"/>
      <c r="D66" s="314" t="s">
        <v>56</v>
      </c>
      <c r="E66" s="333"/>
      <c r="F66" s="156">
        <f>SUM(AT66:BF66)</f>
        <v>200628</v>
      </c>
      <c r="G66" s="177">
        <f>SUM(BG66:BR66)</f>
        <v>53945</v>
      </c>
      <c r="H66" s="177">
        <f>SUM(BS66:CB66)</f>
        <v>117915</v>
      </c>
      <c r="I66" s="178">
        <f>SUM(CC66:CK66)</f>
        <v>170116</v>
      </c>
      <c r="J66" s="181"/>
      <c r="K66" s="156">
        <f>BF66</f>
        <v>47019</v>
      </c>
      <c r="L66" s="177">
        <f>AY66</f>
        <v>12807</v>
      </c>
      <c r="M66" s="177">
        <f>BD66</f>
        <v>30748</v>
      </c>
      <c r="N66" s="177">
        <f>AW66</f>
        <v>13734</v>
      </c>
      <c r="O66" s="177">
        <f>BE66</f>
        <v>11383</v>
      </c>
      <c r="P66" s="177">
        <f>AZ66+BA66</f>
        <v>2786</v>
      </c>
      <c r="Q66" s="177">
        <f>AU66</f>
        <v>8489</v>
      </c>
      <c r="R66" s="177">
        <f>AT66+AX66</f>
        <v>637</v>
      </c>
      <c r="S66" s="177">
        <f>AV66</f>
        <v>7614</v>
      </c>
      <c r="T66" s="177">
        <f>BB66</f>
        <v>14633</v>
      </c>
      <c r="U66" s="179">
        <f>BC66</f>
        <v>50778</v>
      </c>
      <c r="V66" s="177">
        <f>BG66+BJ66</f>
        <v>1983</v>
      </c>
      <c r="W66" s="177">
        <f>BR66</f>
        <v>11881</v>
      </c>
      <c r="X66" s="177">
        <f>BH66+BI66</f>
        <v>1401</v>
      </c>
      <c r="Y66" s="177">
        <f>BK66+BL66+BN66</f>
        <v>2966</v>
      </c>
      <c r="Z66" s="177">
        <f>BM66</f>
        <v>19950</v>
      </c>
      <c r="AA66" s="177">
        <f>BO66+BQ66</f>
        <v>6123</v>
      </c>
      <c r="AB66" s="179">
        <f>BP66</f>
        <v>9641</v>
      </c>
      <c r="AC66" s="177">
        <f>BX66</f>
        <v>20359</v>
      </c>
      <c r="AD66" s="177">
        <f>BU66</f>
        <v>6314</v>
      </c>
      <c r="AE66" s="177">
        <f>BS66+BT66</f>
        <v>4750</v>
      </c>
      <c r="AF66" s="177">
        <f>CA66</f>
        <v>4180</v>
      </c>
      <c r="AG66" s="177">
        <f>BV66</f>
        <v>14679</v>
      </c>
      <c r="AH66" s="177">
        <f>BZ66</f>
        <v>14837</v>
      </c>
      <c r="AI66" s="177">
        <f>BW66</f>
        <v>21408</v>
      </c>
      <c r="AJ66" s="177">
        <f>BY66</f>
        <v>11692</v>
      </c>
      <c r="AK66" s="179">
        <f>CB66</f>
        <v>19696</v>
      </c>
      <c r="AL66" s="177">
        <f>CE66</f>
        <v>15697</v>
      </c>
      <c r="AM66" s="177">
        <f>CH66</f>
        <v>10868</v>
      </c>
      <c r="AN66" s="177">
        <f>CJ66</f>
        <v>45212</v>
      </c>
      <c r="AO66" s="177">
        <f>CC66</f>
        <v>32136</v>
      </c>
      <c r="AP66" s="177">
        <f>CD66</f>
        <v>7166</v>
      </c>
      <c r="AQ66" s="177">
        <f>CK66</f>
        <v>28523</v>
      </c>
      <c r="AR66" s="177">
        <f>CI66</f>
        <v>5721</v>
      </c>
      <c r="AS66" s="178">
        <f>CF66+CG66</f>
        <v>24793</v>
      </c>
      <c r="AT66" s="181">
        <v>0</v>
      </c>
      <c r="AU66" s="177">
        <v>8489</v>
      </c>
      <c r="AV66" s="177">
        <f>8381-767</f>
        <v>7614</v>
      </c>
      <c r="AW66" s="181">
        <f>17629-3895</f>
        <v>13734</v>
      </c>
      <c r="AX66" s="177">
        <v>637</v>
      </c>
      <c r="AY66" s="177">
        <v>12807</v>
      </c>
      <c r="AZ66" s="177">
        <v>0</v>
      </c>
      <c r="BA66" s="177">
        <f>2962-176</f>
        <v>2786</v>
      </c>
      <c r="BB66" s="177">
        <v>14633</v>
      </c>
      <c r="BC66" s="177">
        <v>50778</v>
      </c>
      <c r="BD66" s="177">
        <v>30748</v>
      </c>
      <c r="BE66" s="177">
        <v>11383</v>
      </c>
      <c r="BF66" s="179">
        <f>47521-502</f>
        <v>47019</v>
      </c>
      <c r="BG66" s="177">
        <v>0</v>
      </c>
      <c r="BH66" s="177">
        <v>0</v>
      </c>
      <c r="BI66" s="177">
        <v>1401</v>
      </c>
      <c r="BJ66" s="177">
        <f>2234-251</f>
        <v>1983</v>
      </c>
      <c r="BK66" s="177">
        <v>0</v>
      </c>
      <c r="BL66" s="177">
        <v>0</v>
      </c>
      <c r="BM66" s="177">
        <v>19950</v>
      </c>
      <c r="BN66" s="177">
        <v>2966</v>
      </c>
      <c r="BO66" s="177">
        <v>0</v>
      </c>
      <c r="BP66" s="177">
        <f>10234-593</f>
        <v>9641</v>
      </c>
      <c r="BQ66" s="177">
        <f>6189-66</f>
        <v>6123</v>
      </c>
      <c r="BR66" s="179">
        <f>13338-1457</f>
        <v>11881</v>
      </c>
      <c r="BS66" s="177">
        <v>0</v>
      </c>
      <c r="BT66" s="177">
        <f>5102+18478-18830</f>
        <v>4750</v>
      </c>
      <c r="BU66" s="177">
        <f>8522-2208</f>
        <v>6314</v>
      </c>
      <c r="BV66" s="177">
        <f>16996-2317</f>
        <v>14679</v>
      </c>
      <c r="BW66" s="177">
        <f>23384-1976</f>
        <v>21408</v>
      </c>
      <c r="BX66" s="177">
        <f>33298-12939</f>
        <v>20359</v>
      </c>
      <c r="BY66" s="177">
        <f>20677-8985</f>
        <v>11692</v>
      </c>
      <c r="BZ66" s="177">
        <f>14942-105</f>
        <v>14837</v>
      </c>
      <c r="CA66" s="177">
        <f>12721-8541</f>
        <v>4180</v>
      </c>
      <c r="CB66" s="179">
        <f>31863-12167</f>
        <v>19696</v>
      </c>
      <c r="CC66" s="177">
        <f>33153-1017</f>
        <v>32136</v>
      </c>
      <c r="CD66" s="177">
        <f>7407-241</f>
        <v>7166</v>
      </c>
      <c r="CE66" s="177">
        <f>28153-12456</f>
        <v>15697</v>
      </c>
      <c r="CF66" s="177">
        <v>0</v>
      </c>
      <c r="CG66" s="177">
        <f>26200-1407</f>
        <v>24793</v>
      </c>
      <c r="CH66" s="177">
        <f>10889-21</f>
        <v>10868</v>
      </c>
      <c r="CI66" s="177">
        <f>6472-751</f>
        <v>5721</v>
      </c>
      <c r="CJ66" s="177">
        <f>17611+29465-1864</f>
        <v>45212</v>
      </c>
      <c r="CK66" s="178">
        <f>30717-2194</f>
        <v>28523</v>
      </c>
      <c r="CL66" s="180">
        <f>SUM(AT66:CK66)</f>
        <v>542604</v>
      </c>
    </row>
    <row r="67" spans="1:90">
      <c r="A67" s="93">
        <f>ROWS($A$3:A65)</f>
        <v>63</v>
      </c>
      <c r="B67" s="106" t="s">
        <v>282</v>
      </c>
      <c r="C67" s="243"/>
      <c r="D67" s="314" t="s">
        <v>56</v>
      </c>
      <c r="E67" s="333"/>
      <c r="F67" s="156">
        <f>SUM(AT67:BF67)</f>
        <v>5528</v>
      </c>
      <c r="G67" s="177">
        <f>SUM(BG67:BR67)</f>
        <v>2367</v>
      </c>
      <c r="H67" s="177">
        <f>SUM(BS67:CB67)</f>
        <v>68068</v>
      </c>
      <c r="I67" s="178">
        <f>SUM(CC67:CK67)</f>
        <v>19951</v>
      </c>
      <c r="J67" s="181"/>
      <c r="K67" s="156">
        <f>BF67</f>
        <v>502</v>
      </c>
      <c r="L67" s="177">
        <f>AY67</f>
        <v>0</v>
      </c>
      <c r="M67" s="177">
        <f>BD67</f>
        <v>0</v>
      </c>
      <c r="N67" s="177">
        <f>AW67</f>
        <v>3895</v>
      </c>
      <c r="O67" s="177">
        <f>BE67</f>
        <v>0</v>
      </c>
      <c r="P67" s="177">
        <f>AZ67+BA67</f>
        <v>176</v>
      </c>
      <c r="Q67" s="177">
        <f>AU67</f>
        <v>0</v>
      </c>
      <c r="R67" s="177">
        <f>AT67+AX67</f>
        <v>188</v>
      </c>
      <c r="S67" s="177">
        <f>AV67</f>
        <v>767</v>
      </c>
      <c r="T67" s="177">
        <f>BB67</f>
        <v>0</v>
      </c>
      <c r="U67" s="179">
        <f>BC67</f>
        <v>0</v>
      </c>
      <c r="V67" s="177">
        <f>BG67+BJ67</f>
        <v>251</v>
      </c>
      <c r="W67" s="177">
        <f>BR67</f>
        <v>1457</v>
      </c>
      <c r="X67" s="177">
        <f>BH67+BI67</f>
        <v>0</v>
      </c>
      <c r="Y67" s="177">
        <f>BK67+BL67+BN67</f>
        <v>0</v>
      </c>
      <c r="Z67" s="177">
        <f>BM67</f>
        <v>0</v>
      </c>
      <c r="AA67" s="177">
        <f>BO67+BQ67</f>
        <v>66</v>
      </c>
      <c r="AB67" s="179">
        <f>BP67</f>
        <v>593</v>
      </c>
      <c r="AC67" s="177">
        <f>BX67</f>
        <v>12939</v>
      </c>
      <c r="AD67" s="177">
        <f>BU67</f>
        <v>2208</v>
      </c>
      <c r="AE67" s="177">
        <f>BS67+BT67</f>
        <v>18830</v>
      </c>
      <c r="AF67" s="177">
        <f>CA67</f>
        <v>8541</v>
      </c>
      <c r="AG67" s="177">
        <f>BV67</f>
        <v>2317</v>
      </c>
      <c r="AH67" s="177">
        <f>BZ67</f>
        <v>105</v>
      </c>
      <c r="AI67" s="177">
        <f>BW67</f>
        <v>1976</v>
      </c>
      <c r="AJ67" s="177">
        <f>BY67</f>
        <v>8985</v>
      </c>
      <c r="AK67" s="179">
        <f>CB67</f>
        <v>12167</v>
      </c>
      <c r="AL67" s="177">
        <f>CE67</f>
        <v>12456</v>
      </c>
      <c r="AM67" s="177">
        <f>CH67</f>
        <v>21</v>
      </c>
      <c r="AN67" s="177">
        <f>CJ67</f>
        <v>1864</v>
      </c>
      <c r="AO67" s="177">
        <f>CC67</f>
        <v>1017</v>
      </c>
      <c r="AP67" s="177">
        <f>CD67</f>
        <v>241</v>
      </c>
      <c r="AQ67" s="177">
        <f>CK67</f>
        <v>2194</v>
      </c>
      <c r="AR67" s="177">
        <f>CI67</f>
        <v>751</v>
      </c>
      <c r="AS67" s="178">
        <f>CF67+CG67</f>
        <v>1407</v>
      </c>
      <c r="AT67" s="181">
        <v>0</v>
      </c>
      <c r="AU67" s="181">
        <v>0</v>
      </c>
      <c r="AV67" s="181">
        <v>767</v>
      </c>
      <c r="AW67" s="181">
        <v>3895</v>
      </c>
      <c r="AX67" s="181">
        <v>188</v>
      </c>
      <c r="AY67" s="177">
        <v>0</v>
      </c>
      <c r="AZ67" s="177">
        <v>0</v>
      </c>
      <c r="BA67" s="177">
        <v>176</v>
      </c>
      <c r="BB67" s="177">
        <v>0</v>
      </c>
      <c r="BC67" s="177">
        <v>0</v>
      </c>
      <c r="BD67" s="177">
        <v>0</v>
      </c>
      <c r="BE67" s="177">
        <v>0</v>
      </c>
      <c r="BF67" s="179">
        <v>502</v>
      </c>
      <c r="BG67" s="177">
        <v>0</v>
      </c>
      <c r="BH67" s="177">
        <v>0</v>
      </c>
      <c r="BI67" s="177">
        <v>0</v>
      </c>
      <c r="BJ67" s="177">
        <v>251</v>
      </c>
      <c r="BK67" s="177">
        <v>0</v>
      </c>
      <c r="BL67" s="177">
        <v>0</v>
      </c>
      <c r="BM67" s="177">
        <v>0</v>
      </c>
      <c r="BN67" s="177">
        <v>0</v>
      </c>
      <c r="BO67" s="177">
        <v>0</v>
      </c>
      <c r="BP67" s="177">
        <v>593</v>
      </c>
      <c r="BQ67" s="177">
        <v>66</v>
      </c>
      <c r="BR67" s="179">
        <v>1457</v>
      </c>
      <c r="BS67" s="177">
        <v>0</v>
      </c>
      <c r="BT67" s="177">
        <f>3059+15771</f>
        <v>18830</v>
      </c>
      <c r="BU67" s="177">
        <v>2208</v>
      </c>
      <c r="BV67" s="177">
        <v>2317</v>
      </c>
      <c r="BW67" s="177">
        <v>1976</v>
      </c>
      <c r="BX67" s="177">
        <v>12939</v>
      </c>
      <c r="BY67" s="177">
        <v>8985</v>
      </c>
      <c r="BZ67" s="177">
        <v>105</v>
      </c>
      <c r="CA67" s="177">
        <v>8541</v>
      </c>
      <c r="CB67" s="179">
        <v>12167</v>
      </c>
      <c r="CC67" s="177">
        <v>1017</v>
      </c>
      <c r="CD67" s="177">
        <v>241</v>
      </c>
      <c r="CE67" s="177">
        <v>12456</v>
      </c>
      <c r="CF67" s="177">
        <v>0</v>
      </c>
      <c r="CG67" s="177">
        <v>1407</v>
      </c>
      <c r="CH67" s="177">
        <v>21</v>
      </c>
      <c r="CI67" s="177">
        <v>751</v>
      </c>
      <c r="CJ67" s="177">
        <f>27+1837</f>
        <v>1864</v>
      </c>
      <c r="CK67" s="178">
        <v>2194</v>
      </c>
      <c r="CL67" s="180">
        <f>SUM(AT67:CK67)</f>
        <v>95914</v>
      </c>
    </row>
    <row r="68" spans="1:90">
      <c r="A68" s="93">
        <f>ROWS($A$3:A66)</f>
        <v>64</v>
      </c>
      <c r="B68" s="67" t="s">
        <v>87</v>
      </c>
      <c r="C68" s="243"/>
      <c r="D68" s="314"/>
      <c r="E68" s="333"/>
      <c r="F68" s="156"/>
      <c r="G68" s="177"/>
      <c r="H68" s="177"/>
      <c r="I68" s="178"/>
      <c r="J68" s="181"/>
      <c r="K68" s="156"/>
      <c r="L68" s="177"/>
      <c r="M68" s="177"/>
      <c r="N68" s="177"/>
      <c r="O68" s="177"/>
      <c r="P68" s="177"/>
      <c r="Q68" s="177"/>
      <c r="R68" s="177"/>
      <c r="S68" s="177"/>
      <c r="T68" s="177"/>
      <c r="U68" s="179"/>
      <c r="V68" s="177"/>
      <c r="W68" s="177"/>
      <c r="X68" s="177"/>
      <c r="Y68" s="177"/>
      <c r="Z68" s="177"/>
      <c r="AA68" s="177"/>
      <c r="AB68" s="179"/>
      <c r="AC68" s="177"/>
      <c r="AD68" s="177"/>
      <c r="AE68" s="177"/>
      <c r="AF68" s="177"/>
      <c r="AG68" s="177"/>
      <c r="AH68" s="177"/>
      <c r="AI68" s="177"/>
      <c r="AJ68" s="177"/>
      <c r="AK68" s="179"/>
      <c r="AL68" s="177"/>
      <c r="AM68" s="177"/>
      <c r="AN68" s="177"/>
      <c r="AO68" s="177"/>
      <c r="AP68" s="177"/>
      <c r="AQ68" s="177"/>
      <c r="AR68" s="177"/>
      <c r="AS68" s="178"/>
      <c r="AT68" s="177"/>
      <c r="AU68" s="177"/>
      <c r="AV68" s="177"/>
      <c r="AW68" s="177"/>
      <c r="AX68" s="177"/>
      <c r="AY68" s="177"/>
      <c r="AZ68" s="177"/>
      <c r="BA68" s="177"/>
      <c r="BB68" s="177"/>
      <c r="BC68" s="177"/>
      <c r="BD68" s="177"/>
      <c r="BE68" s="177"/>
      <c r="BF68" s="179"/>
      <c r="BG68" s="177"/>
      <c r="BH68" s="177"/>
      <c r="BI68" s="177"/>
      <c r="BJ68" s="177"/>
      <c r="BK68" s="177"/>
      <c r="BL68" s="177"/>
      <c r="BM68" s="177"/>
      <c r="BN68" s="177"/>
      <c r="BO68" s="177"/>
      <c r="BP68" s="177"/>
      <c r="BQ68" s="177"/>
      <c r="BR68" s="179"/>
      <c r="BS68" s="177"/>
      <c r="BT68" s="177"/>
      <c r="BU68" s="177"/>
      <c r="BV68" s="177"/>
      <c r="BW68" s="177"/>
      <c r="BX68" s="177"/>
      <c r="BY68" s="177"/>
      <c r="BZ68" s="177"/>
      <c r="CA68" s="177"/>
      <c r="CB68" s="179"/>
      <c r="CC68" s="177"/>
      <c r="CD68" s="177"/>
      <c r="CE68" s="177"/>
      <c r="CF68" s="177"/>
      <c r="CG68" s="177"/>
      <c r="CH68" s="177"/>
      <c r="CI68" s="177"/>
      <c r="CJ68" s="177"/>
      <c r="CK68" s="178"/>
      <c r="CL68" s="180"/>
    </row>
    <row r="69" spans="1:90">
      <c r="A69" s="93">
        <f>ROWS($A$3:A67)</f>
        <v>65</v>
      </c>
      <c r="B69" s="106" t="s">
        <v>88</v>
      </c>
      <c r="C69" s="242">
        <v>2007</v>
      </c>
      <c r="D69" s="314" t="s">
        <v>14</v>
      </c>
      <c r="E69" s="333"/>
      <c r="F69" s="156">
        <v>756</v>
      </c>
      <c r="G69" s="177">
        <v>221</v>
      </c>
      <c r="H69" s="177">
        <v>1049</v>
      </c>
      <c r="I69" s="178">
        <v>870</v>
      </c>
      <c r="J69" s="181"/>
      <c r="K69" s="156">
        <f>BF69</f>
        <v>91</v>
      </c>
      <c r="L69" s="177">
        <f>AY69</f>
        <v>119</v>
      </c>
      <c r="M69" s="177">
        <f>BD69</f>
        <v>104</v>
      </c>
      <c r="N69" s="177">
        <f>AW69</f>
        <v>40</v>
      </c>
      <c r="O69" s="177">
        <f>BE69</f>
        <v>40</v>
      </c>
      <c r="P69" s="177">
        <f>'2007'!AZ69+'2007'!BA69</f>
        <v>60</v>
      </c>
      <c r="Q69" s="177">
        <f>'2007'!AU69</f>
        <v>26</v>
      </c>
      <c r="R69" s="177">
        <f>AT69+AX69</f>
        <v>52</v>
      </c>
      <c r="S69" s="177">
        <f>AV69</f>
        <v>40</v>
      </c>
      <c r="T69" s="177">
        <f t="shared" ref="T69:U71" si="139">BB69</f>
        <v>64</v>
      </c>
      <c r="U69" s="179">
        <f t="shared" si="139"/>
        <v>120</v>
      </c>
      <c r="V69" s="177">
        <f>BG69+BJ69</f>
        <v>18</v>
      </c>
      <c r="W69" s="177">
        <f>BR69</f>
        <v>35</v>
      </c>
      <c r="X69" s="177">
        <f>BH69+BI69</f>
        <v>38</v>
      </c>
      <c r="Y69" s="177">
        <f>BK69+BL69+BN69</f>
        <v>35</v>
      </c>
      <c r="Z69" s="177">
        <f>BM69</f>
        <v>35</v>
      </c>
      <c r="AA69" s="177">
        <f>BO69+BQ69</f>
        <v>35</v>
      </c>
      <c r="AB69" s="179">
        <f>BP69</f>
        <v>25</v>
      </c>
      <c r="AC69" s="177">
        <f>BX69</f>
        <v>98</v>
      </c>
      <c r="AD69" s="177">
        <f>BU69</f>
        <v>77</v>
      </c>
      <c r="AE69" s="177">
        <f>BS69+BT69</f>
        <v>261</v>
      </c>
      <c r="AF69" s="177">
        <f>CA69</f>
        <v>101</v>
      </c>
      <c r="AG69" s="177">
        <f>BV69</f>
        <v>137</v>
      </c>
      <c r="AH69" s="177">
        <f>BZ69</f>
        <v>98</v>
      </c>
      <c r="AI69" s="177">
        <f>BW69</f>
        <v>46</v>
      </c>
      <c r="AJ69" s="177">
        <f>BY69</f>
        <v>40</v>
      </c>
      <c r="AK69" s="179">
        <f>CB69</f>
        <v>191</v>
      </c>
      <c r="AL69" s="177">
        <f>CE69</f>
        <v>55</v>
      </c>
      <c r="AM69" s="177">
        <f>CH69</f>
        <v>60</v>
      </c>
      <c r="AN69" s="177">
        <f>CJ69</f>
        <v>325</v>
      </c>
      <c r="AO69" s="177">
        <f t="shared" ref="AO69:AP71" si="140">CC69</f>
        <v>66</v>
      </c>
      <c r="AP69" s="177">
        <f t="shared" si="140"/>
        <v>40</v>
      </c>
      <c r="AQ69" s="177">
        <f>CK69</f>
        <v>77</v>
      </c>
      <c r="AR69" s="177">
        <f>CI69</f>
        <v>178</v>
      </c>
      <c r="AS69" s="178">
        <f>CF69+CG69</f>
        <v>69</v>
      </c>
      <c r="AT69" s="177">
        <v>7</v>
      </c>
      <c r="AU69" s="177">
        <v>26</v>
      </c>
      <c r="AV69" s="177">
        <v>40</v>
      </c>
      <c r="AW69" s="181">
        <v>40</v>
      </c>
      <c r="AX69" s="177">
        <v>45</v>
      </c>
      <c r="AY69" s="177">
        <v>119</v>
      </c>
      <c r="AZ69" s="177">
        <v>7</v>
      </c>
      <c r="BA69" s="177">
        <v>53</v>
      </c>
      <c r="BB69" s="177">
        <v>64</v>
      </c>
      <c r="BC69" s="177">
        <v>120</v>
      </c>
      <c r="BD69" s="177">
        <v>104</v>
      </c>
      <c r="BE69" s="177">
        <v>40</v>
      </c>
      <c r="BF69" s="179">
        <v>91</v>
      </c>
      <c r="BG69" s="177">
        <v>4</v>
      </c>
      <c r="BH69" s="177">
        <v>6</v>
      </c>
      <c r="BI69" s="177">
        <v>32</v>
      </c>
      <c r="BJ69" s="177">
        <v>14</v>
      </c>
      <c r="BK69" s="177">
        <v>3</v>
      </c>
      <c r="BL69" s="177">
        <v>0</v>
      </c>
      <c r="BM69" s="177">
        <v>35</v>
      </c>
      <c r="BN69" s="177">
        <v>32</v>
      </c>
      <c r="BO69" s="177">
        <v>2</v>
      </c>
      <c r="BP69" s="177">
        <v>25</v>
      </c>
      <c r="BQ69" s="177">
        <v>33</v>
      </c>
      <c r="BR69" s="179">
        <v>35</v>
      </c>
      <c r="BS69" s="177">
        <v>15</v>
      </c>
      <c r="BT69" s="177">
        <v>246</v>
      </c>
      <c r="BU69" s="177">
        <v>77</v>
      </c>
      <c r="BV69" s="177">
        <v>137</v>
      </c>
      <c r="BW69" s="177">
        <v>46</v>
      </c>
      <c r="BX69" s="177">
        <v>98</v>
      </c>
      <c r="BY69" s="177">
        <v>40</v>
      </c>
      <c r="BZ69" s="177">
        <v>98</v>
      </c>
      <c r="CA69" s="177">
        <v>101</v>
      </c>
      <c r="CB69" s="179">
        <v>191</v>
      </c>
      <c r="CC69" s="177">
        <v>66</v>
      </c>
      <c r="CD69" s="177">
        <v>40</v>
      </c>
      <c r="CE69" s="177">
        <v>55</v>
      </c>
      <c r="CF69" s="177">
        <v>1</v>
      </c>
      <c r="CG69" s="177">
        <v>68</v>
      </c>
      <c r="CH69" s="177">
        <v>60</v>
      </c>
      <c r="CI69" s="177">
        <v>178</v>
      </c>
      <c r="CJ69" s="177">
        <v>325</v>
      </c>
      <c r="CK69" s="178">
        <v>77</v>
      </c>
      <c r="CL69" s="180">
        <v>2896</v>
      </c>
    </row>
    <row r="70" spans="1:90">
      <c r="A70" s="93">
        <f>ROWS($A$3:A68)</f>
        <v>66</v>
      </c>
      <c r="B70" s="106" t="s">
        <v>74</v>
      </c>
      <c r="C70" s="243"/>
      <c r="D70" s="314" t="s">
        <v>1</v>
      </c>
      <c r="E70" s="333"/>
      <c r="F70" s="156">
        <v>24805</v>
      </c>
      <c r="G70" s="177">
        <v>8359</v>
      </c>
      <c r="H70" s="177">
        <v>31034</v>
      </c>
      <c r="I70" s="178">
        <v>30108</v>
      </c>
      <c r="J70" s="181"/>
      <c r="K70" s="156">
        <f>BF70</f>
        <v>2642</v>
      </c>
      <c r="L70" s="177">
        <f>AY70</f>
        <v>3591</v>
      </c>
      <c r="M70" s="177">
        <f>BD70</f>
        <v>3673</v>
      </c>
      <c r="N70" s="177">
        <f>AW70</f>
        <v>1503</v>
      </c>
      <c r="O70" s="177">
        <f>BE70</f>
        <v>2148</v>
      </c>
      <c r="P70" s="177">
        <f>'2007'!AZ70+'2007'!BA70</f>
        <v>1599</v>
      </c>
      <c r="Q70" s="177">
        <f>'2007'!AU70</f>
        <v>1022</v>
      </c>
      <c r="R70" s="177">
        <f>AT70+AX70</f>
        <v>1365</v>
      </c>
      <c r="S70" s="177">
        <f>AV70</f>
        <v>1181</v>
      </c>
      <c r="T70" s="177">
        <f t="shared" si="139"/>
        <v>2074</v>
      </c>
      <c r="U70" s="179">
        <f t="shared" si="139"/>
        <v>4007</v>
      </c>
      <c r="V70" s="177">
        <f>BG70+BJ70</f>
        <v>559</v>
      </c>
      <c r="W70" s="177">
        <f>BR70</f>
        <v>1270</v>
      </c>
      <c r="X70" s="177">
        <f>BH70+BI70</f>
        <v>1145</v>
      </c>
      <c r="Y70" s="177">
        <f>BL70+BN70</f>
        <v>1278</v>
      </c>
      <c r="Z70" s="177">
        <f>BM70</f>
        <v>1872</v>
      </c>
      <c r="AA70" s="177">
        <f>BQ70</f>
        <v>1486</v>
      </c>
      <c r="AB70" s="179">
        <f>BP70</f>
        <v>749</v>
      </c>
      <c r="AC70" s="177">
        <f>BX70</f>
        <v>3007</v>
      </c>
      <c r="AD70" s="177">
        <f>BU70</f>
        <v>1334</v>
      </c>
      <c r="AE70" s="177">
        <f>BS70+BT70</f>
        <v>5979</v>
      </c>
      <c r="AF70" s="177">
        <f>CA70</f>
        <v>2677</v>
      </c>
      <c r="AG70" s="177">
        <f>BV70</f>
        <v>2883</v>
      </c>
      <c r="AH70" s="177">
        <f>BZ70</f>
        <v>4133</v>
      </c>
      <c r="AI70" s="177">
        <f>BW70</f>
        <v>1627</v>
      </c>
      <c r="AJ70" s="177">
        <f>BY70</f>
        <v>2784</v>
      </c>
      <c r="AK70" s="179">
        <f>CB70</f>
        <v>6610</v>
      </c>
      <c r="AL70" s="177">
        <f>CE70</f>
        <v>3211</v>
      </c>
      <c r="AM70" s="177">
        <f>CH70</f>
        <v>2501</v>
      </c>
      <c r="AN70" s="177">
        <f>CJ70</f>
        <v>9892</v>
      </c>
      <c r="AO70" s="177">
        <f t="shared" si="140"/>
        <v>2429</v>
      </c>
      <c r="AP70" s="177">
        <f t="shared" si="140"/>
        <v>2971</v>
      </c>
      <c r="AQ70" s="177">
        <f>CK70</f>
        <v>3153</v>
      </c>
      <c r="AR70" s="177">
        <f>CI70</f>
        <v>3609</v>
      </c>
      <c r="AS70" s="178">
        <f>CG70</f>
        <v>2342</v>
      </c>
      <c r="AT70" s="177">
        <v>266</v>
      </c>
      <c r="AU70" s="181">
        <v>1022</v>
      </c>
      <c r="AV70" s="181">
        <v>1181</v>
      </c>
      <c r="AW70" s="181">
        <v>1503</v>
      </c>
      <c r="AX70" s="181">
        <v>1099</v>
      </c>
      <c r="AY70" s="177">
        <v>3591</v>
      </c>
      <c r="AZ70" s="177">
        <v>87</v>
      </c>
      <c r="BA70" s="177">
        <v>1512</v>
      </c>
      <c r="BB70" s="177">
        <v>2074</v>
      </c>
      <c r="BC70" s="177">
        <v>4007</v>
      </c>
      <c r="BD70" s="177">
        <v>3673</v>
      </c>
      <c r="BE70" s="177">
        <v>2148</v>
      </c>
      <c r="BF70" s="179">
        <v>2642</v>
      </c>
      <c r="BG70" s="177">
        <v>217</v>
      </c>
      <c r="BH70" s="177">
        <v>147</v>
      </c>
      <c r="BI70" s="177">
        <v>998</v>
      </c>
      <c r="BJ70" s="177">
        <v>342</v>
      </c>
      <c r="BK70" s="177" t="s">
        <v>252</v>
      </c>
      <c r="BL70" s="177">
        <v>0</v>
      </c>
      <c r="BM70" s="177">
        <v>1872</v>
      </c>
      <c r="BN70" s="177">
        <v>1278</v>
      </c>
      <c r="BO70" s="177" t="s">
        <v>252</v>
      </c>
      <c r="BP70" s="177">
        <v>749</v>
      </c>
      <c r="BQ70" s="177">
        <v>1486</v>
      </c>
      <c r="BR70" s="179">
        <v>1270</v>
      </c>
      <c r="BS70" s="177">
        <v>215</v>
      </c>
      <c r="BT70" s="177">
        <v>5764</v>
      </c>
      <c r="BU70" s="177">
        <v>1334</v>
      </c>
      <c r="BV70" s="177">
        <v>2883</v>
      </c>
      <c r="BW70" s="177">
        <v>1627</v>
      </c>
      <c r="BX70" s="177">
        <v>3007</v>
      </c>
      <c r="BY70" s="177">
        <v>2784</v>
      </c>
      <c r="BZ70" s="177">
        <v>4133</v>
      </c>
      <c r="CA70" s="177">
        <v>2677</v>
      </c>
      <c r="CB70" s="179">
        <v>6610</v>
      </c>
      <c r="CC70" s="177">
        <v>2429</v>
      </c>
      <c r="CD70" s="177">
        <v>2971</v>
      </c>
      <c r="CE70" s="177">
        <v>3211</v>
      </c>
      <c r="CF70" s="177" t="s">
        <v>252</v>
      </c>
      <c r="CG70" s="177">
        <v>2342</v>
      </c>
      <c r="CH70" s="177">
        <v>2501</v>
      </c>
      <c r="CI70" s="177">
        <v>3609</v>
      </c>
      <c r="CJ70" s="177">
        <v>9892</v>
      </c>
      <c r="CK70" s="178">
        <v>3153</v>
      </c>
      <c r="CL70" s="180">
        <v>94593</v>
      </c>
    </row>
    <row r="71" spans="1:90">
      <c r="A71" s="93">
        <f>ROWS($A$3:A69)</f>
        <v>67</v>
      </c>
      <c r="B71" s="62" t="s">
        <v>71</v>
      </c>
      <c r="C71" s="312"/>
      <c r="D71" s="314" t="s">
        <v>1</v>
      </c>
      <c r="E71" s="333"/>
      <c r="F71" s="207">
        <f>IF(OR(F69&lt;0.1,F70&lt;0.1),0,F70/F69)</f>
        <v>32.810846560846564</v>
      </c>
      <c r="G71" s="208">
        <f>IF(OR(G69&lt;0.1,G70&lt;0.1),0,G70/G69)</f>
        <v>37.823529411764703</v>
      </c>
      <c r="H71" s="208">
        <f>IF(OR(H69&lt;0.1,H70&lt;0.1),0,H70/H69)</f>
        <v>29.584366062917063</v>
      </c>
      <c r="I71" s="209">
        <f>IF(OR(I69&lt;0.1,I70&lt;0.1),0,I70/I69)</f>
        <v>34.606896551724141</v>
      </c>
      <c r="J71" s="213"/>
      <c r="K71" s="218">
        <f>BF71</f>
        <v>29.032967032967033</v>
      </c>
      <c r="L71" s="219">
        <f>AY71</f>
        <v>30.176470588235293</v>
      </c>
      <c r="M71" s="219">
        <f>BD71</f>
        <v>35.317307692307693</v>
      </c>
      <c r="N71" s="219">
        <f>AW71</f>
        <v>37.575000000000003</v>
      </c>
      <c r="O71" s="219">
        <f>BE71</f>
        <v>53.7</v>
      </c>
      <c r="P71" s="208">
        <f>IF(OR(P69&lt;0.1,P70&lt;0.1),0,P70/P69)</f>
        <v>26.65</v>
      </c>
      <c r="Q71" s="219">
        <f>'2007'!AU71</f>
        <v>39.307692307692307</v>
      </c>
      <c r="R71" s="208">
        <f>IF(OR(R69&lt;0.1,R70&lt;0.1),0,R70/R69)</f>
        <v>26.25</v>
      </c>
      <c r="S71" s="219">
        <f>AV71</f>
        <v>29.524999999999999</v>
      </c>
      <c r="T71" s="219">
        <f t="shared" si="139"/>
        <v>32.40625</v>
      </c>
      <c r="U71" s="220">
        <f t="shared" si="139"/>
        <v>33.391666666666666</v>
      </c>
      <c r="V71" s="208">
        <f>IF(OR(V69&lt;0.1,V70&lt;0.1),0,V70/V69)</f>
        <v>31.055555555555557</v>
      </c>
      <c r="W71" s="219">
        <f>BR71</f>
        <v>36.285714285714285</v>
      </c>
      <c r="X71" s="208">
        <f>IF(OR(X69&lt;0.1,X70&lt;0.1),0,X70/X69)</f>
        <v>30.131578947368421</v>
      </c>
      <c r="Y71" s="208">
        <f>IF(OR(Y69&lt;0.1,Y70&lt;0.1),0,Y70/Y69)</f>
        <v>36.514285714285712</v>
      </c>
      <c r="Z71" s="219">
        <f>BM71</f>
        <v>53.485714285714288</v>
      </c>
      <c r="AA71" s="208">
        <f>IF(OR(AA69&lt;0.1,AA70&lt;0.1),0,AA70/AA69)</f>
        <v>42.457142857142856</v>
      </c>
      <c r="AB71" s="220">
        <f>BP71</f>
        <v>29.96</v>
      </c>
      <c r="AC71" s="219">
        <f>BX71</f>
        <v>30.683673469387756</v>
      </c>
      <c r="AD71" s="219">
        <f>BU71</f>
        <v>17.324675324675326</v>
      </c>
      <c r="AE71" s="208">
        <f>IF(OR(AE69&lt;0.1,AE70&lt;0.1),0,AE70/AE69)</f>
        <v>22.908045977011493</v>
      </c>
      <c r="AF71" s="219">
        <f>CA71</f>
        <v>26.504950495049506</v>
      </c>
      <c r="AG71" s="219">
        <f>BV71</f>
        <v>21.043795620437955</v>
      </c>
      <c r="AH71" s="219">
        <f>BZ71</f>
        <v>42.173469387755105</v>
      </c>
      <c r="AI71" s="219">
        <f>BW71</f>
        <v>35.369565217391305</v>
      </c>
      <c r="AJ71" s="219">
        <f>BY71</f>
        <v>69.599999999999994</v>
      </c>
      <c r="AK71" s="220">
        <f>CB71</f>
        <v>34.607329842931939</v>
      </c>
      <c r="AL71" s="219">
        <f>CE71</f>
        <v>58.381818181818183</v>
      </c>
      <c r="AM71" s="219">
        <f>CH71</f>
        <v>41.68333333333333</v>
      </c>
      <c r="AN71" s="219">
        <f>CJ71</f>
        <v>30.436923076923076</v>
      </c>
      <c r="AO71" s="219">
        <f t="shared" si="140"/>
        <v>36.803030303030305</v>
      </c>
      <c r="AP71" s="219">
        <f t="shared" si="140"/>
        <v>74.275000000000006</v>
      </c>
      <c r="AQ71" s="219">
        <f>CK71</f>
        <v>40.948051948051948</v>
      </c>
      <c r="AR71" s="219">
        <f>CI71</f>
        <v>20.275280898876403</v>
      </c>
      <c r="AS71" s="209">
        <f t="shared" ref="AS71:BJ71" si="141">IF(OR(AS69&lt;0.1,AS70&lt;0.1),0,AS70/AS69)</f>
        <v>33.94202898550725</v>
      </c>
      <c r="AT71" s="208">
        <f t="shared" si="141"/>
        <v>38</v>
      </c>
      <c r="AU71" s="208">
        <f t="shared" si="141"/>
        <v>39.307692307692307</v>
      </c>
      <c r="AV71" s="208">
        <f t="shared" si="141"/>
        <v>29.524999999999999</v>
      </c>
      <c r="AW71" s="208">
        <f t="shared" si="141"/>
        <v>37.575000000000003</v>
      </c>
      <c r="AX71" s="208">
        <f t="shared" si="141"/>
        <v>24.422222222222221</v>
      </c>
      <c r="AY71" s="208">
        <f t="shared" si="141"/>
        <v>30.176470588235293</v>
      </c>
      <c r="AZ71" s="208">
        <f t="shared" si="141"/>
        <v>12.428571428571429</v>
      </c>
      <c r="BA71" s="208">
        <f t="shared" si="141"/>
        <v>28.528301886792452</v>
      </c>
      <c r="BB71" s="208">
        <f t="shared" si="141"/>
        <v>32.40625</v>
      </c>
      <c r="BC71" s="208">
        <f t="shared" si="141"/>
        <v>33.391666666666666</v>
      </c>
      <c r="BD71" s="208">
        <f t="shared" si="141"/>
        <v>35.317307692307693</v>
      </c>
      <c r="BE71" s="208">
        <f t="shared" si="141"/>
        <v>53.7</v>
      </c>
      <c r="BF71" s="216">
        <f t="shared" si="141"/>
        <v>29.032967032967033</v>
      </c>
      <c r="BG71" s="208">
        <f t="shared" si="141"/>
        <v>54.25</v>
      </c>
      <c r="BH71" s="208">
        <f t="shared" si="141"/>
        <v>24.5</v>
      </c>
      <c r="BI71" s="208">
        <f t="shared" si="141"/>
        <v>31.1875</v>
      </c>
      <c r="BJ71" s="208">
        <f t="shared" si="141"/>
        <v>24.428571428571427</v>
      </c>
      <c r="BK71" s="208">
        <v>0</v>
      </c>
      <c r="BL71" s="208">
        <f>IF(OR(BL69&lt;0.1,BL70&lt;0.1),0,BL70/BL69)</f>
        <v>0</v>
      </c>
      <c r="BM71" s="208">
        <f>IF(OR(BM69&lt;0.1,BM70&lt;0.1),0,BM70/BM69)</f>
        <v>53.485714285714288</v>
      </c>
      <c r="BN71" s="208">
        <f>IF(OR(BN69&lt;0.1,BN70&lt;0.1),0,BN70/BN69)</f>
        <v>39.9375</v>
      </c>
      <c r="BO71" s="208">
        <v>0</v>
      </c>
      <c r="BP71" s="208">
        <f t="shared" ref="BP71:CE71" si="142">IF(OR(BP69&lt;0.1,BP70&lt;0.1),0,BP70/BP69)</f>
        <v>29.96</v>
      </c>
      <c r="BQ71" s="208">
        <f t="shared" si="142"/>
        <v>45.030303030303031</v>
      </c>
      <c r="BR71" s="216">
        <f t="shared" si="142"/>
        <v>36.285714285714285</v>
      </c>
      <c r="BS71" s="208">
        <f t="shared" si="142"/>
        <v>14.333333333333334</v>
      </c>
      <c r="BT71" s="208">
        <f t="shared" si="142"/>
        <v>23.430894308943088</v>
      </c>
      <c r="BU71" s="208">
        <f t="shared" si="142"/>
        <v>17.324675324675326</v>
      </c>
      <c r="BV71" s="208">
        <f t="shared" si="142"/>
        <v>21.043795620437955</v>
      </c>
      <c r="BW71" s="208">
        <f t="shared" si="142"/>
        <v>35.369565217391305</v>
      </c>
      <c r="BX71" s="208">
        <f t="shared" si="142"/>
        <v>30.683673469387756</v>
      </c>
      <c r="BY71" s="208">
        <f t="shared" si="142"/>
        <v>69.599999999999994</v>
      </c>
      <c r="BZ71" s="208">
        <f t="shared" si="142"/>
        <v>42.173469387755105</v>
      </c>
      <c r="CA71" s="208">
        <f t="shared" si="142"/>
        <v>26.504950495049506</v>
      </c>
      <c r="CB71" s="216">
        <f t="shared" si="142"/>
        <v>34.607329842931939</v>
      </c>
      <c r="CC71" s="208">
        <f t="shared" si="142"/>
        <v>36.803030303030305</v>
      </c>
      <c r="CD71" s="208">
        <f t="shared" si="142"/>
        <v>74.275000000000006</v>
      </c>
      <c r="CE71" s="208">
        <f t="shared" si="142"/>
        <v>58.381818181818183</v>
      </c>
      <c r="CF71" s="208">
        <v>0</v>
      </c>
      <c r="CG71" s="208">
        <f t="shared" ref="CG71:CL71" si="143">IF(OR(CG69&lt;0.1,CG70&lt;0.1),0,CG70/CG69)</f>
        <v>34.441176470588232</v>
      </c>
      <c r="CH71" s="208">
        <f t="shared" si="143"/>
        <v>41.68333333333333</v>
      </c>
      <c r="CI71" s="208">
        <f t="shared" si="143"/>
        <v>20.275280898876403</v>
      </c>
      <c r="CJ71" s="208">
        <f t="shared" si="143"/>
        <v>30.436923076923076</v>
      </c>
      <c r="CK71" s="209">
        <f t="shared" si="143"/>
        <v>40.948051948051948</v>
      </c>
      <c r="CL71" s="217">
        <f t="shared" si="143"/>
        <v>32.663328729281766</v>
      </c>
    </row>
    <row r="72" spans="1:90">
      <c r="A72" s="93">
        <f>ROWS($A$3:A70)</f>
        <v>68</v>
      </c>
      <c r="B72" s="67" t="s">
        <v>89</v>
      </c>
      <c r="C72" s="243"/>
      <c r="D72" s="314"/>
      <c r="E72" s="333"/>
      <c r="F72" s="156"/>
      <c r="G72" s="177"/>
      <c r="H72" s="177"/>
      <c r="I72" s="178"/>
      <c r="J72" s="181"/>
      <c r="K72" s="156"/>
      <c r="L72" s="177"/>
      <c r="M72" s="177"/>
      <c r="N72" s="177"/>
      <c r="O72" s="177"/>
      <c r="P72" s="177"/>
      <c r="Q72" s="177"/>
      <c r="R72" s="177"/>
      <c r="S72" s="177"/>
      <c r="T72" s="177"/>
      <c r="U72" s="179"/>
      <c r="V72" s="177"/>
      <c r="W72" s="177"/>
      <c r="X72" s="177"/>
      <c r="Y72" s="177"/>
      <c r="Z72" s="177"/>
      <c r="AA72" s="177"/>
      <c r="AB72" s="179"/>
      <c r="AC72" s="177"/>
      <c r="AD72" s="177"/>
      <c r="AE72" s="177"/>
      <c r="AF72" s="177"/>
      <c r="AG72" s="177"/>
      <c r="AH72" s="177"/>
      <c r="AI72" s="177"/>
      <c r="AJ72" s="177"/>
      <c r="AK72" s="179"/>
      <c r="AL72" s="177"/>
      <c r="AM72" s="177"/>
      <c r="AN72" s="177"/>
      <c r="AO72" s="177"/>
      <c r="AP72" s="177"/>
      <c r="AQ72" s="177"/>
      <c r="AR72" s="177"/>
      <c r="AS72" s="178"/>
      <c r="AT72" s="177"/>
      <c r="AU72" s="177"/>
      <c r="AV72" s="177"/>
      <c r="AW72" s="177"/>
      <c r="AX72" s="177"/>
      <c r="AY72" s="177"/>
      <c r="AZ72" s="177"/>
      <c r="BA72" s="177"/>
      <c r="BB72" s="177"/>
      <c r="BC72" s="177"/>
      <c r="BD72" s="177"/>
      <c r="BE72" s="177"/>
      <c r="BF72" s="179"/>
      <c r="BG72" s="177"/>
      <c r="BH72" s="177"/>
      <c r="BI72" s="177"/>
      <c r="BJ72" s="177"/>
      <c r="BK72" s="177"/>
      <c r="BL72" s="177"/>
      <c r="BM72" s="177"/>
      <c r="BN72" s="177"/>
      <c r="BO72" s="177"/>
      <c r="BP72" s="177"/>
      <c r="BQ72" s="177"/>
      <c r="BR72" s="179"/>
      <c r="BS72" s="177"/>
      <c r="BT72" s="177"/>
      <c r="BU72" s="177"/>
      <c r="BV72" s="177"/>
      <c r="BW72" s="177"/>
      <c r="BX72" s="177"/>
      <c r="BY72" s="177"/>
      <c r="BZ72" s="177"/>
      <c r="CA72" s="177"/>
      <c r="CB72" s="179"/>
      <c r="CC72" s="177"/>
      <c r="CD72" s="177"/>
      <c r="CE72" s="177"/>
      <c r="CF72" s="177"/>
      <c r="CG72" s="177"/>
      <c r="CH72" s="177"/>
      <c r="CI72" s="177"/>
      <c r="CJ72" s="177"/>
      <c r="CK72" s="178"/>
      <c r="CL72" s="180"/>
    </row>
    <row r="73" spans="1:90">
      <c r="A73" s="93">
        <f>ROWS($A$3:A71)</f>
        <v>69</v>
      </c>
      <c r="B73" s="106" t="s">
        <v>90</v>
      </c>
      <c r="C73" s="242">
        <v>2007</v>
      </c>
      <c r="D73" s="314" t="s">
        <v>14</v>
      </c>
      <c r="E73" s="333"/>
      <c r="F73" s="156">
        <v>3236</v>
      </c>
      <c r="G73" s="177">
        <v>1923</v>
      </c>
      <c r="H73" s="177">
        <v>1605</v>
      </c>
      <c r="I73" s="178">
        <v>2415</v>
      </c>
      <c r="J73" s="181"/>
      <c r="K73" s="156">
        <f t="shared" ref="K73:K78" si="144">BF73</f>
        <v>258</v>
      </c>
      <c r="L73" s="177">
        <f t="shared" ref="L73:L78" si="145">AY73</f>
        <v>124</v>
      </c>
      <c r="M73" s="177">
        <f t="shared" ref="M73:M78" si="146">BD73</f>
        <v>783</v>
      </c>
      <c r="N73" s="177">
        <f t="shared" ref="N73:N78" si="147">AW73</f>
        <v>78</v>
      </c>
      <c r="O73" s="177">
        <f t="shared" ref="O73:O78" si="148">BE73</f>
        <v>164</v>
      </c>
      <c r="P73" s="177">
        <f>'2007'!AZ73+'2007'!BA73</f>
        <v>528</v>
      </c>
      <c r="Q73" s="177">
        <f>'2007'!AU73</f>
        <v>343</v>
      </c>
      <c r="R73" s="177">
        <f t="shared" ref="R73:R78" si="149">AT73+AX73</f>
        <v>373</v>
      </c>
      <c r="S73" s="177">
        <f t="shared" ref="S73:S78" si="150">AV73</f>
        <v>189</v>
      </c>
      <c r="T73" s="177">
        <f t="shared" ref="T73:U78" si="151">BB73</f>
        <v>211</v>
      </c>
      <c r="U73" s="179">
        <f t="shared" si="151"/>
        <v>185</v>
      </c>
      <c r="V73" s="177">
        <f t="shared" ref="V73:V78" si="152">BG73+BJ73</f>
        <v>146</v>
      </c>
      <c r="W73" s="177">
        <f t="shared" ref="W73:W78" si="153">BR73</f>
        <v>159</v>
      </c>
      <c r="X73" s="177">
        <f t="shared" ref="X73:X78" si="154">BH73+BI73</f>
        <v>423</v>
      </c>
      <c r="Y73" s="177">
        <f t="shared" ref="Y73:Y78" si="155">BK73+BL73+BN73</f>
        <v>513</v>
      </c>
      <c r="Z73" s="177">
        <f t="shared" ref="Z73:Z78" si="156">BM73</f>
        <v>398</v>
      </c>
      <c r="AA73" s="177">
        <f t="shared" ref="AA73:AA78" si="157">BO73+BQ73</f>
        <v>148</v>
      </c>
      <c r="AB73" s="179">
        <f t="shared" ref="AB73:AB78" si="158">BP73</f>
        <v>136</v>
      </c>
      <c r="AC73" s="177">
        <f t="shared" ref="AC73:AC78" si="159">BX73</f>
        <v>124</v>
      </c>
      <c r="AD73" s="177">
        <f t="shared" ref="AD73:AD78" si="160">BU73</f>
        <v>143</v>
      </c>
      <c r="AE73" s="177">
        <f t="shared" ref="AE73:AE78" si="161">BS73+BT73</f>
        <v>261</v>
      </c>
      <c r="AF73" s="177">
        <f t="shared" ref="AF73:AF78" si="162">CA73</f>
        <v>54</v>
      </c>
      <c r="AG73" s="177">
        <f t="shared" ref="AG73:AG78" si="163">BV73</f>
        <v>438</v>
      </c>
      <c r="AH73" s="177">
        <f t="shared" ref="AH73:AH78" si="164">BZ73</f>
        <v>209</v>
      </c>
      <c r="AI73" s="177">
        <f t="shared" ref="AI73:AI78" si="165">BW73</f>
        <v>192</v>
      </c>
      <c r="AJ73" s="177">
        <f t="shared" ref="AJ73:AJ78" si="166">BY73</f>
        <v>58</v>
      </c>
      <c r="AK73" s="179">
        <f t="shared" ref="AK73:AK78" si="167">CB73</f>
        <v>126</v>
      </c>
      <c r="AL73" s="177">
        <f t="shared" ref="AL73:AL78" si="168">CE73</f>
        <v>213</v>
      </c>
      <c r="AM73" s="177">
        <f t="shared" ref="AM73:AM78" si="169">CH73</f>
        <v>407</v>
      </c>
      <c r="AN73" s="177">
        <f t="shared" ref="AN73:AN78" si="170">CJ73</f>
        <v>132</v>
      </c>
      <c r="AO73" s="177">
        <f t="shared" ref="AO73:AP78" si="171">CC73</f>
        <v>318</v>
      </c>
      <c r="AP73" s="177">
        <f t="shared" si="171"/>
        <v>233</v>
      </c>
      <c r="AQ73" s="177">
        <f t="shared" ref="AQ73:AQ78" si="172">CK73</f>
        <v>351</v>
      </c>
      <c r="AR73" s="177">
        <f t="shared" ref="AR73:AR78" si="173">CI73</f>
        <v>154</v>
      </c>
      <c r="AS73" s="178">
        <f t="shared" ref="AS73:AS78" si="174">CF73+CG73</f>
        <v>607</v>
      </c>
      <c r="AT73" s="177">
        <v>29</v>
      </c>
      <c r="AU73" s="177">
        <v>343</v>
      </c>
      <c r="AV73" s="177">
        <v>189</v>
      </c>
      <c r="AW73" s="181">
        <v>78</v>
      </c>
      <c r="AX73" s="177">
        <v>344</v>
      </c>
      <c r="AY73" s="177">
        <v>124</v>
      </c>
      <c r="AZ73" s="177">
        <v>63</v>
      </c>
      <c r="BA73" s="177">
        <v>465</v>
      </c>
      <c r="BB73" s="177">
        <v>211</v>
      </c>
      <c r="BC73" s="177">
        <v>185</v>
      </c>
      <c r="BD73" s="177">
        <v>783</v>
      </c>
      <c r="BE73" s="177">
        <v>164</v>
      </c>
      <c r="BF73" s="179">
        <v>258</v>
      </c>
      <c r="BG73" s="177">
        <v>5</v>
      </c>
      <c r="BH73" s="177">
        <v>30</v>
      </c>
      <c r="BI73" s="177">
        <v>393</v>
      </c>
      <c r="BJ73" s="177">
        <v>141</v>
      </c>
      <c r="BK73" s="177">
        <v>31</v>
      </c>
      <c r="BL73" s="177">
        <v>48</v>
      </c>
      <c r="BM73" s="177">
        <v>398</v>
      </c>
      <c r="BN73" s="177">
        <v>434</v>
      </c>
      <c r="BO73" s="177">
        <v>4</v>
      </c>
      <c r="BP73" s="177">
        <v>136</v>
      </c>
      <c r="BQ73" s="177">
        <v>144</v>
      </c>
      <c r="BR73" s="179">
        <v>159</v>
      </c>
      <c r="BS73" s="177">
        <v>16</v>
      </c>
      <c r="BT73" s="177">
        <v>245</v>
      </c>
      <c r="BU73" s="177">
        <v>143</v>
      </c>
      <c r="BV73" s="177">
        <v>438</v>
      </c>
      <c r="BW73" s="177">
        <v>192</v>
      </c>
      <c r="BX73" s="177">
        <v>124</v>
      </c>
      <c r="BY73" s="177">
        <v>58</v>
      </c>
      <c r="BZ73" s="177">
        <v>209</v>
      </c>
      <c r="CA73" s="177">
        <v>54</v>
      </c>
      <c r="CB73" s="179">
        <v>126</v>
      </c>
      <c r="CC73" s="177">
        <v>318</v>
      </c>
      <c r="CD73" s="177">
        <v>233</v>
      </c>
      <c r="CE73" s="177">
        <v>213</v>
      </c>
      <c r="CF73" s="177">
        <v>44</v>
      </c>
      <c r="CG73" s="177">
        <v>563</v>
      </c>
      <c r="CH73" s="177">
        <v>407</v>
      </c>
      <c r="CI73" s="177">
        <v>154</v>
      </c>
      <c r="CJ73" s="177">
        <v>132</v>
      </c>
      <c r="CK73" s="178">
        <v>351</v>
      </c>
      <c r="CL73" s="180">
        <v>9179</v>
      </c>
    </row>
    <row r="74" spans="1:90">
      <c r="A74" s="93">
        <f>ROWS($A$3:A72)</f>
        <v>70</v>
      </c>
      <c r="B74" s="106" t="s">
        <v>91</v>
      </c>
      <c r="C74" s="243"/>
      <c r="D74" s="314" t="s">
        <v>14</v>
      </c>
      <c r="E74" s="333"/>
      <c r="F74" s="156">
        <v>598</v>
      </c>
      <c r="G74" s="177">
        <v>342</v>
      </c>
      <c r="H74" s="177">
        <v>417</v>
      </c>
      <c r="I74" s="178">
        <v>243</v>
      </c>
      <c r="J74" s="181"/>
      <c r="K74" s="156">
        <f t="shared" si="144"/>
        <v>55</v>
      </c>
      <c r="L74" s="177">
        <f t="shared" si="145"/>
        <v>96</v>
      </c>
      <c r="M74" s="177">
        <f t="shared" si="146"/>
        <v>15</v>
      </c>
      <c r="N74" s="177">
        <f t="shared" si="147"/>
        <v>39</v>
      </c>
      <c r="O74" s="177">
        <f t="shared" si="148"/>
        <v>14</v>
      </c>
      <c r="P74" s="177">
        <f>'2007'!AZ74+'2007'!BA74</f>
        <v>64</v>
      </c>
      <c r="Q74" s="177">
        <f>'2007'!AU74</f>
        <v>30</v>
      </c>
      <c r="R74" s="177">
        <f t="shared" si="149"/>
        <v>172</v>
      </c>
      <c r="S74" s="177">
        <f t="shared" si="150"/>
        <v>71</v>
      </c>
      <c r="T74" s="177">
        <f t="shared" si="151"/>
        <v>18</v>
      </c>
      <c r="U74" s="179">
        <f t="shared" si="151"/>
        <v>24</v>
      </c>
      <c r="V74" s="177">
        <f t="shared" si="152"/>
        <v>39</v>
      </c>
      <c r="W74" s="177">
        <f t="shared" si="153"/>
        <v>18</v>
      </c>
      <c r="X74" s="177">
        <f t="shared" si="154"/>
        <v>78</v>
      </c>
      <c r="Y74" s="177">
        <f t="shared" si="155"/>
        <v>107</v>
      </c>
      <c r="Z74" s="177">
        <f t="shared" si="156"/>
        <v>24</v>
      </c>
      <c r="AA74" s="177">
        <f t="shared" si="157"/>
        <v>42</v>
      </c>
      <c r="AB74" s="179">
        <f t="shared" si="158"/>
        <v>34</v>
      </c>
      <c r="AC74" s="177">
        <f t="shared" si="159"/>
        <v>18</v>
      </c>
      <c r="AD74" s="177">
        <f t="shared" si="160"/>
        <v>39</v>
      </c>
      <c r="AE74" s="177">
        <f t="shared" si="161"/>
        <v>73</v>
      </c>
      <c r="AF74" s="177">
        <f t="shared" si="162"/>
        <v>35</v>
      </c>
      <c r="AG74" s="177">
        <f t="shared" si="163"/>
        <v>78</v>
      </c>
      <c r="AH74" s="177">
        <f t="shared" si="164"/>
        <v>133</v>
      </c>
      <c r="AI74" s="177">
        <f t="shared" si="165"/>
        <v>14</v>
      </c>
      <c r="AJ74" s="177">
        <f t="shared" si="166"/>
        <v>6</v>
      </c>
      <c r="AK74" s="179">
        <f t="shared" si="167"/>
        <v>21</v>
      </c>
      <c r="AL74" s="177">
        <f t="shared" si="168"/>
        <v>24</v>
      </c>
      <c r="AM74" s="177">
        <f t="shared" si="169"/>
        <v>35</v>
      </c>
      <c r="AN74" s="177">
        <f t="shared" si="170"/>
        <v>32</v>
      </c>
      <c r="AO74" s="177">
        <f t="shared" si="171"/>
        <v>38</v>
      </c>
      <c r="AP74" s="177">
        <f t="shared" si="171"/>
        <v>26</v>
      </c>
      <c r="AQ74" s="177">
        <f t="shared" si="172"/>
        <v>20</v>
      </c>
      <c r="AR74" s="177">
        <f t="shared" si="173"/>
        <v>32</v>
      </c>
      <c r="AS74" s="178">
        <f t="shared" si="174"/>
        <v>36</v>
      </c>
      <c r="AT74" s="181">
        <v>63</v>
      </c>
      <c r="AU74" s="181">
        <v>30</v>
      </c>
      <c r="AV74" s="181">
        <v>71</v>
      </c>
      <c r="AW74" s="181">
        <v>39</v>
      </c>
      <c r="AX74" s="181">
        <v>109</v>
      </c>
      <c r="AY74" s="177">
        <v>96</v>
      </c>
      <c r="AZ74" s="177">
        <v>14</v>
      </c>
      <c r="BA74" s="177">
        <v>50</v>
      </c>
      <c r="BB74" s="177">
        <v>18</v>
      </c>
      <c r="BC74" s="177">
        <v>24</v>
      </c>
      <c r="BD74" s="177">
        <v>15</v>
      </c>
      <c r="BE74" s="177">
        <v>14</v>
      </c>
      <c r="BF74" s="179">
        <v>55</v>
      </c>
      <c r="BG74" s="177">
        <v>12</v>
      </c>
      <c r="BH74" s="177">
        <v>22</v>
      </c>
      <c r="BI74" s="177">
        <v>56</v>
      </c>
      <c r="BJ74" s="177">
        <v>27</v>
      </c>
      <c r="BK74" s="177">
        <v>33</v>
      </c>
      <c r="BL74" s="177">
        <v>18</v>
      </c>
      <c r="BM74" s="177">
        <v>24</v>
      </c>
      <c r="BN74" s="177">
        <v>56</v>
      </c>
      <c r="BO74" s="177">
        <v>13</v>
      </c>
      <c r="BP74" s="177">
        <v>34</v>
      </c>
      <c r="BQ74" s="177">
        <v>29</v>
      </c>
      <c r="BR74" s="179">
        <v>18</v>
      </c>
      <c r="BS74" s="177">
        <v>14</v>
      </c>
      <c r="BT74" s="177">
        <v>59</v>
      </c>
      <c r="BU74" s="177">
        <v>39</v>
      </c>
      <c r="BV74" s="177">
        <v>78</v>
      </c>
      <c r="BW74" s="177">
        <v>14</v>
      </c>
      <c r="BX74" s="177">
        <v>18</v>
      </c>
      <c r="BY74" s="177">
        <v>6</v>
      </c>
      <c r="BZ74" s="177">
        <v>133</v>
      </c>
      <c r="CA74" s="177">
        <v>35</v>
      </c>
      <c r="CB74" s="179">
        <v>21</v>
      </c>
      <c r="CC74" s="177">
        <v>38</v>
      </c>
      <c r="CD74" s="177">
        <v>26</v>
      </c>
      <c r="CE74" s="177">
        <v>24</v>
      </c>
      <c r="CF74" s="177">
        <v>15</v>
      </c>
      <c r="CG74" s="177">
        <v>21</v>
      </c>
      <c r="CH74" s="177">
        <v>35</v>
      </c>
      <c r="CI74" s="177">
        <v>32</v>
      </c>
      <c r="CJ74" s="177">
        <v>32</v>
      </c>
      <c r="CK74" s="178">
        <v>20</v>
      </c>
      <c r="CL74" s="180">
        <v>1600</v>
      </c>
    </row>
    <row r="75" spans="1:90">
      <c r="A75" s="93">
        <f>ROWS($A$3:A73)</f>
        <v>71</v>
      </c>
      <c r="B75" s="106" t="s">
        <v>92</v>
      </c>
      <c r="C75" s="243"/>
      <c r="D75" s="314" t="s">
        <v>14</v>
      </c>
      <c r="E75" s="333"/>
      <c r="F75" s="156">
        <v>4333</v>
      </c>
      <c r="G75" s="177">
        <v>1187</v>
      </c>
      <c r="H75" s="177">
        <v>6063</v>
      </c>
      <c r="I75" s="178">
        <v>1239</v>
      </c>
      <c r="J75" s="181"/>
      <c r="K75" s="156">
        <f t="shared" si="144"/>
        <v>10</v>
      </c>
      <c r="L75" s="177">
        <f t="shared" si="145"/>
        <v>611</v>
      </c>
      <c r="M75" s="177">
        <f t="shared" si="146"/>
        <v>306</v>
      </c>
      <c r="N75" s="177">
        <f t="shared" si="147"/>
        <v>44</v>
      </c>
      <c r="O75" s="177">
        <f t="shared" si="148"/>
        <v>4</v>
      </c>
      <c r="P75" s="177">
        <f>'2007'!AZ75+'2007'!BA75</f>
        <v>1739</v>
      </c>
      <c r="Q75" s="177">
        <f>'2007'!AU75</f>
        <v>51</v>
      </c>
      <c r="R75" s="177">
        <f t="shared" si="149"/>
        <v>994</v>
      </c>
      <c r="S75" s="177">
        <f t="shared" si="150"/>
        <v>115</v>
      </c>
      <c r="T75" s="177">
        <f t="shared" si="151"/>
        <v>444</v>
      </c>
      <c r="U75" s="179">
        <f t="shared" si="151"/>
        <v>15</v>
      </c>
      <c r="V75" s="177">
        <f t="shared" si="152"/>
        <v>554</v>
      </c>
      <c r="W75" s="177">
        <f t="shared" si="153"/>
        <v>5</v>
      </c>
      <c r="X75" s="177">
        <f t="shared" si="154"/>
        <v>237</v>
      </c>
      <c r="Y75" s="177">
        <f t="shared" si="155"/>
        <v>248</v>
      </c>
      <c r="Z75" s="177">
        <f t="shared" si="156"/>
        <v>51</v>
      </c>
      <c r="AA75" s="177">
        <f t="shared" si="157"/>
        <v>87</v>
      </c>
      <c r="AB75" s="179">
        <f t="shared" si="158"/>
        <v>5</v>
      </c>
      <c r="AC75" s="177">
        <f t="shared" si="159"/>
        <v>3</v>
      </c>
      <c r="AD75" s="177">
        <f t="shared" si="160"/>
        <v>930</v>
      </c>
      <c r="AE75" s="177">
        <f t="shared" si="161"/>
        <v>2240</v>
      </c>
      <c r="AF75" s="177">
        <f t="shared" si="162"/>
        <v>335</v>
      </c>
      <c r="AG75" s="177">
        <f t="shared" si="163"/>
        <v>2339</v>
      </c>
      <c r="AH75" s="177">
        <f t="shared" si="164"/>
        <v>144</v>
      </c>
      <c r="AI75" s="177">
        <f t="shared" si="165"/>
        <v>9</v>
      </c>
      <c r="AJ75" s="177">
        <f t="shared" si="166"/>
        <v>3</v>
      </c>
      <c r="AK75" s="179">
        <f t="shared" si="167"/>
        <v>60</v>
      </c>
      <c r="AL75" s="177">
        <f t="shared" si="168"/>
        <v>5</v>
      </c>
      <c r="AM75" s="177">
        <f t="shared" si="169"/>
        <v>9</v>
      </c>
      <c r="AN75" s="177">
        <f t="shared" si="170"/>
        <v>155</v>
      </c>
      <c r="AO75" s="177">
        <f t="shared" si="171"/>
        <v>43</v>
      </c>
      <c r="AP75" s="177">
        <f t="shared" si="171"/>
        <v>25</v>
      </c>
      <c r="AQ75" s="177">
        <f t="shared" si="172"/>
        <v>13</v>
      </c>
      <c r="AR75" s="177">
        <f t="shared" si="173"/>
        <v>968</v>
      </c>
      <c r="AS75" s="178">
        <f t="shared" si="174"/>
        <v>21</v>
      </c>
      <c r="AT75" s="181">
        <v>119</v>
      </c>
      <c r="AU75" s="181">
        <v>51</v>
      </c>
      <c r="AV75" s="181">
        <v>115</v>
      </c>
      <c r="AW75" s="181">
        <v>44</v>
      </c>
      <c r="AX75" s="181">
        <v>875</v>
      </c>
      <c r="AY75" s="177">
        <v>611</v>
      </c>
      <c r="AZ75" s="177">
        <v>115</v>
      </c>
      <c r="BA75" s="177">
        <v>1624</v>
      </c>
      <c r="BB75" s="177">
        <v>444</v>
      </c>
      <c r="BC75" s="177">
        <v>15</v>
      </c>
      <c r="BD75" s="177">
        <v>306</v>
      </c>
      <c r="BE75" s="177">
        <v>4</v>
      </c>
      <c r="BF75" s="179">
        <v>10</v>
      </c>
      <c r="BG75" s="177">
        <v>130</v>
      </c>
      <c r="BH75" s="177">
        <v>6</v>
      </c>
      <c r="BI75" s="177">
        <v>231</v>
      </c>
      <c r="BJ75" s="177">
        <v>424</v>
      </c>
      <c r="BK75" s="177">
        <v>15</v>
      </c>
      <c r="BL75" s="177">
        <v>1</v>
      </c>
      <c r="BM75" s="177">
        <v>51</v>
      </c>
      <c r="BN75" s="177">
        <v>232</v>
      </c>
      <c r="BO75" s="177">
        <v>0</v>
      </c>
      <c r="BP75" s="177">
        <v>5</v>
      </c>
      <c r="BQ75" s="177">
        <v>87</v>
      </c>
      <c r="BR75" s="179">
        <v>5</v>
      </c>
      <c r="BS75" s="177">
        <v>190</v>
      </c>
      <c r="BT75" s="177">
        <v>2050</v>
      </c>
      <c r="BU75" s="177">
        <v>930</v>
      </c>
      <c r="BV75" s="177">
        <v>2339</v>
      </c>
      <c r="BW75" s="177">
        <v>9</v>
      </c>
      <c r="BX75" s="177">
        <v>3</v>
      </c>
      <c r="BY75" s="177">
        <v>3</v>
      </c>
      <c r="BZ75" s="177">
        <v>144</v>
      </c>
      <c r="CA75" s="177">
        <v>335</v>
      </c>
      <c r="CB75" s="179">
        <v>60</v>
      </c>
      <c r="CC75" s="177">
        <v>43</v>
      </c>
      <c r="CD75" s="177">
        <v>25</v>
      </c>
      <c r="CE75" s="177">
        <v>5</v>
      </c>
      <c r="CF75" s="177">
        <v>3</v>
      </c>
      <c r="CG75" s="177">
        <v>18</v>
      </c>
      <c r="CH75" s="177">
        <v>9</v>
      </c>
      <c r="CI75" s="177">
        <v>968</v>
      </c>
      <c r="CJ75" s="177">
        <v>155</v>
      </c>
      <c r="CK75" s="178">
        <v>13</v>
      </c>
      <c r="CL75" s="180">
        <v>12822</v>
      </c>
    </row>
    <row r="76" spans="1:90">
      <c r="A76" s="93">
        <f>ROWS($A$3:A74)</f>
        <v>72</v>
      </c>
      <c r="B76" s="106" t="s">
        <v>93</v>
      </c>
      <c r="C76" s="243"/>
      <c r="D76" s="314" t="s">
        <v>14</v>
      </c>
      <c r="E76" s="333"/>
      <c r="F76" s="156">
        <v>5370</v>
      </c>
      <c r="G76" s="177">
        <v>1872</v>
      </c>
      <c r="H76" s="177">
        <v>7638</v>
      </c>
      <c r="I76" s="178">
        <v>6768</v>
      </c>
      <c r="J76" s="181"/>
      <c r="K76" s="156">
        <f t="shared" si="144"/>
        <v>1438</v>
      </c>
      <c r="L76" s="177">
        <f t="shared" si="145"/>
        <v>584</v>
      </c>
      <c r="M76" s="177">
        <f t="shared" si="146"/>
        <v>220</v>
      </c>
      <c r="N76" s="177">
        <f t="shared" si="147"/>
        <v>573</v>
      </c>
      <c r="O76" s="177">
        <f t="shared" si="148"/>
        <v>270</v>
      </c>
      <c r="P76" s="177">
        <f>'2007'!AZ76+'2007'!BA76</f>
        <v>179</v>
      </c>
      <c r="Q76" s="177">
        <f>'2007'!AU76</f>
        <v>149</v>
      </c>
      <c r="R76" s="177">
        <f t="shared" si="149"/>
        <v>141</v>
      </c>
      <c r="S76" s="177">
        <f t="shared" si="150"/>
        <v>277</v>
      </c>
      <c r="T76" s="177">
        <f t="shared" si="151"/>
        <v>357</v>
      </c>
      <c r="U76" s="179">
        <f t="shared" si="151"/>
        <v>1182</v>
      </c>
      <c r="V76" s="177">
        <f t="shared" si="152"/>
        <v>157</v>
      </c>
      <c r="W76" s="177">
        <f t="shared" si="153"/>
        <v>441</v>
      </c>
      <c r="X76" s="177">
        <f t="shared" si="154"/>
        <v>171</v>
      </c>
      <c r="Y76" s="177">
        <f t="shared" si="155"/>
        <v>258</v>
      </c>
      <c r="Z76" s="177">
        <f t="shared" si="156"/>
        <v>335</v>
      </c>
      <c r="AA76" s="177">
        <f t="shared" si="157"/>
        <v>164</v>
      </c>
      <c r="AB76" s="179">
        <f t="shared" si="158"/>
        <v>346</v>
      </c>
      <c r="AC76" s="177">
        <f t="shared" si="159"/>
        <v>950</v>
      </c>
      <c r="AD76" s="177">
        <f t="shared" si="160"/>
        <v>717</v>
      </c>
      <c r="AE76" s="177">
        <f t="shared" si="161"/>
        <v>1214</v>
      </c>
      <c r="AF76" s="177">
        <f t="shared" si="162"/>
        <v>766</v>
      </c>
      <c r="AG76" s="177">
        <f t="shared" si="163"/>
        <v>1509</v>
      </c>
      <c r="AH76" s="177">
        <f t="shared" si="164"/>
        <v>384</v>
      </c>
      <c r="AI76" s="177">
        <f t="shared" si="165"/>
        <v>591</v>
      </c>
      <c r="AJ76" s="177">
        <f t="shared" si="166"/>
        <v>332</v>
      </c>
      <c r="AK76" s="179">
        <f t="shared" si="167"/>
        <v>1175</v>
      </c>
      <c r="AL76" s="177">
        <f t="shared" si="168"/>
        <v>493</v>
      </c>
      <c r="AM76" s="177">
        <f t="shared" si="169"/>
        <v>1206</v>
      </c>
      <c r="AN76" s="177">
        <f t="shared" si="170"/>
        <v>2488</v>
      </c>
      <c r="AO76" s="177">
        <f t="shared" si="171"/>
        <v>545</v>
      </c>
      <c r="AP76" s="177">
        <f t="shared" si="171"/>
        <v>122</v>
      </c>
      <c r="AQ76" s="177">
        <f t="shared" si="172"/>
        <v>655</v>
      </c>
      <c r="AR76" s="177">
        <f t="shared" si="173"/>
        <v>515</v>
      </c>
      <c r="AS76" s="178">
        <f t="shared" si="174"/>
        <v>744</v>
      </c>
      <c r="AT76" s="181">
        <v>16</v>
      </c>
      <c r="AU76" s="181">
        <v>149</v>
      </c>
      <c r="AV76" s="181">
        <v>277</v>
      </c>
      <c r="AW76" s="181">
        <v>573</v>
      </c>
      <c r="AX76" s="181">
        <v>125</v>
      </c>
      <c r="AY76" s="177">
        <v>584</v>
      </c>
      <c r="AZ76" s="177">
        <v>5</v>
      </c>
      <c r="BA76" s="177">
        <v>174</v>
      </c>
      <c r="BB76" s="177">
        <v>357</v>
      </c>
      <c r="BC76" s="177">
        <v>1182</v>
      </c>
      <c r="BD76" s="177">
        <v>220</v>
      </c>
      <c r="BE76" s="177">
        <v>270</v>
      </c>
      <c r="BF76" s="179">
        <v>1438</v>
      </c>
      <c r="BG76" s="177">
        <v>28</v>
      </c>
      <c r="BH76" s="177">
        <v>15</v>
      </c>
      <c r="BI76" s="177">
        <v>156</v>
      </c>
      <c r="BJ76" s="177">
        <v>129</v>
      </c>
      <c r="BK76" s="177">
        <v>6</v>
      </c>
      <c r="BL76" s="177">
        <v>8</v>
      </c>
      <c r="BM76" s="177">
        <v>335</v>
      </c>
      <c r="BN76" s="177">
        <v>244</v>
      </c>
      <c r="BO76" s="177">
        <v>13</v>
      </c>
      <c r="BP76" s="177">
        <v>346</v>
      </c>
      <c r="BQ76" s="177">
        <v>151</v>
      </c>
      <c r="BR76" s="179">
        <v>441</v>
      </c>
      <c r="BS76" s="177">
        <v>22</v>
      </c>
      <c r="BT76" s="177">
        <v>1192</v>
      </c>
      <c r="BU76" s="177">
        <v>717</v>
      </c>
      <c r="BV76" s="177">
        <v>1509</v>
      </c>
      <c r="BW76" s="177">
        <v>591</v>
      </c>
      <c r="BX76" s="177">
        <v>950</v>
      </c>
      <c r="BY76" s="177">
        <v>332</v>
      </c>
      <c r="BZ76" s="177">
        <v>384</v>
      </c>
      <c r="CA76" s="177">
        <v>766</v>
      </c>
      <c r="CB76" s="179">
        <v>1175</v>
      </c>
      <c r="CC76" s="177">
        <v>545</v>
      </c>
      <c r="CD76" s="177">
        <v>122</v>
      </c>
      <c r="CE76" s="177">
        <v>493</v>
      </c>
      <c r="CF76" s="177">
        <v>29</v>
      </c>
      <c r="CG76" s="177">
        <v>715</v>
      </c>
      <c r="CH76" s="177">
        <v>1206</v>
      </c>
      <c r="CI76" s="177">
        <v>515</v>
      </c>
      <c r="CJ76" s="177">
        <v>2488</v>
      </c>
      <c r="CK76" s="178">
        <v>655</v>
      </c>
      <c r="CL76" s="180">
        <v>21648</v>
      </c>
    </row>
    <row r="77" spans="1:90">
      <c r="A77" s="93">
        <f>ROWS($A$3:A75)</f>
        <v>73</v>
      </c>
      <c r="B77" s="106" t="s">
        <v>94</v>
      </c>
      <c r="C77" s="243"/>
      <c r="D77" s="314" t="s">
        <v>14</v>
      </c>
      <c r="E77" s="333"/>
      <c r="F77" s="156">
        <v>806</v>
      </c>
      <c r="G77" s="177">
        <v>55</v>
      </c>
      <c r="H77" s="177">
        <v>94</v>
      </c>
      <c r="I77" s="178">
        <v>392</v>
      </c>
      <c r="J77" s="181"/>
      <c r="K77" s="156">
        <f t="shared" si="144"/>
        <v>84</v>
      </c>
      <c r="L77" s="177">
        <f t="shared" si="145"/>
        <v>16</v>
      </c>
      <c r="M77" s="177">
        <f t="shared" si="146"/>
        <v>93</v>
      </c>
      <c r="N77" s="177">
        <f t="shared" si="147"/>
        <v>14</v>
      </c>
      <c r="O77" s="177">
        <f t="shared" si="148"/>
        <v>19</v>
      </c>
      <c r="P77" s="177">
        <f>'2007'!AZ77+'2007'!BA77</f>
        <v>14</v>
      </c>
      <c r="Q77" s="177">
        <f>'2007'!AU77</f>
        <v>8</v>
      </c>
      <c r="R77" s="177">
        <f t="shared" si="149"/>
        <v>14</v>
      </c>
      <c r="S77" s="177">
        <f t="shared" si="150"/>
        <v>7</v>
      </c>
      <c r="T77" s="177">
        <f t="shared" si="151"/>
        <v>119</v>
      </c>
      <c r="U77" s="179">
        <f t="shared" si="151"/>
        <v>418</v>
      </c>
      <c r="V77" s="177">
        <f t="shared" si="152"/>
        <v>3</v>
      </c>
      <c r="W77" s="177">
        <f t="shared" si="153"/>
        <v>8</v>
      </c>
      <c r="X77" s="177">
        <f t="shared" si="154"/>
        <v>3</v>
      </c>
      <c r="Y77" s="177">
        <f t="shared" si="155"/>
        <v>17</v>
      </c>
      <c r="Z77" s="177">
        <f t="shared" si="156"/>
        <v>13</v>
      </c>
      <c r="AA77" s="177">
        <f t="shared" si="157"/>
        <v>4</v>
      </c>
      <c r="AB77" s="179">
        <f t="shared" si="158"/>
        <v>7</v>
      </c>
      <c r="AC77" s="177">
        <f t="shared" si="159"/>
        <v>14</v>
      </c>
      <c r="AD77" s="177">
        <f t="shared" si="160"/>
        <v>6</v>
      </c>
      <c r="AE77" s="177">
        <f t="shared" si="161"/>
        <v>6</v>
      </c>
      <c r="AF77" s="177">
        <f t="shared" si="162"/>
        <v>2</v>
      </c>
      <c r="AG77" s="177">
        <f t="shared" si="163"/>
        <v>20</v>
      </c>
      <c r="AH77" s="177">
        <f t="shared" si="164"/>
        <v>14</v>
      </c>
      <c r="AI77" s="177">
        <f t="shared" si="165"/>
        <v>13</v>
      </c>
      <c r="AJ77" s="177">
        <f t="shared" si="166"/>
        <v>3</v>
      </c>
      <c r="AK77" s="179">
        <f t="shared" si="167"/>
        <v>16</v>
      </c>
      <c r="AL77" s="177">
        <f t="shared" si="168"/>
        <v>3</v>
      </c>
      <c r="AM77" s="177">
        <f t="shared" si="169"/>
        <v>92</v>
      </c>
      <c r="AN77" s="177">
        <f t="shared" si="170"/>
        <v>52</v>
      </c>
      <c r="AO77" s="177">
        <f t="shared" si="171"/>
        <v>26</v>
      </c>
      <c r="AP77" s="177">
        <f t="shared" si="171"/>
        <v>3</v>
      </c>
      <c r="AQ77" s="177">
        <f t="shared" si="172"/>
        <v>42</v>
      </c>
      <c r="AR77" s="177">
        <f t="shared" si="173"/>
        <v>10</v>
      </c>
      <c r="AS77" s="178">
        <f t="shared" si="174"/>
        <v>164</v>
      </c>
      <c r="AT77" s="181">
        <v>1</v>
      </c>
      <c r="AU77" s="181">
        <v>8</v>
      </c>
      <c r="AV77" s="181">
        <v>7</v>
      </c>
      <c r="AW77" s="181">
        <v>14</v>
      </c>
      <c r="AX77" s="181">
        <v>13</v>
      </c>
      <c r="AY77" s="177">
        <v>16</v>
      </c>
      <c r="AZ77" s="177">
        <v>1</v>
      </c>
      <c r="BA77" s="177">
        <v>13</v>
      </c>
      <c r="BB77" s="177">
        <v>119</v>
      </c>
      <c r="BC77" s="177">
        <v>418</v>
      </c>
      <c r="BD77" s="177">
        <v>93</v>
      </c>
      <c r="BE77" s="177">
        <v>19</v>
      </c>
      <c r="BF77" s="179">
        <v>84</v>
      </c>
      <c r="BG77" s="177">
        <v>0</v>
      </c>
      <c r="BH77" s="177">
        <v>0</v>
      </c>
      <c r="BI77" s="177">
        <v>3</v>
      </c>
      <c r="BJ77" s="177">
        <v>3</v>
      </c>
      <c r="BK77" s="177">
        <v>0</v>
      </c>
      <c r="BL77" s="177">
        <v>1</v>
      </c>
      <c r="BM77" s="177">
        <v>13</v>
      </c>
      <c r="BN77" s="177">
        <v>16</v>
      </c>
      <c r="BO77" s="177">
        <v>0</v>
      </c>
      <c r="BP77" s="177">
        <v>7</v>
      </c>
      <c r="BQ77" s="177">
        <v>4</v>
      </c>
      <c r="BR77" s="179">
        <v>8</v>
      </c>
      <c r="BS77" s="177">
        <v>0</v>
      </c>
      <c r="BT77" s="177">
        <v>6</v>
      </c>
      <c r="BU77" s="177">
        <v>6</v>
      </c>
      <c r="BV77" s="177">
        <v>20</v>
      </c>
      <c r="BW77" s="177">
        <v>13</v>
      </c>
      <c r="BX77" s="177">
        <v>14</v>
      </c>
      <c r="BY77" s="177">
        <v>3</v>
      </c>
      <c r="BZ77" s="177">
        <v>14</v>
      </c>
      <c r="CA77" s="177">
        <v>2</v>
      </c>
      <c r="CB77" s="179">
        <v>16</v>
      </c>
      <c r="CC77" s="177">
        <v>26</v>
      </c>
      <c r="CD77" s="177">
        <v>3</v>
      </c>
      <c r="CE77" s="177">
        <v>3</v>
      </c>
      <c r="CF77" s="177">
        <v>8</v>
      </c>
      <c r="CG77" s="177">
        <v>156</v>
      </c>
      <c r="CH77" s="177">
        <v>92</v>
      </c>
      <c r="CI77" s="177">
        <v>10</v>
      </c>
      <c r="CJ77" s="177">
        <v>52</v>
      </c>
      <c r="CK77" s="178">
        <v>42</v>
      </c>
      <c r="CL77" s="180">
        <v>1347</v>
      </c>
    </row>
    <row r="78" spans="1:90">
      <c r="A78" s="93">
        <f>ROWS($A$3:A76)</f>
        <v>74</v>
      </c>
      <c r="B78" s="106" t="s">
        <v>95</v>
      </c>
      <c r="C78" s="243"/>
      <c r="D78" s="314" t="s">
        <v>14</v>
      </c>
      <c r="E78" s="333"/>
      <c r="F78" s="156">
        <v>3870</v>
      </c>
      <c r="G78" s="177">
        <v>1268</v>
      </c>
      <c r="H78" s="177">
        <v>2311</v>
      </c>
      <c r="I78" s="178">
        <v>3004</v>
      </c>
      <c r="J78" s="181"/>
      <c r="K78" s="156">
        <f t="shared" si="144"/>
        <v>447</v>
      </c>
      <c r="L78" s="177">
        <f t="shared" si="145"/>
        <v>277</v>
      </c>
      <c r="M78" s="177">
        <f t="shared" si="146"/>
        <v>487</v>
      </c>
      <c r="N78" s="177">
        <f t="shared" si="147"/>
        <v>185</v>
      </c>
      <c r="O78" s="177">
        <f t="shared" si="148"/>
        <v>192</v>
      </c>
      <c r="P78" s="177">
        <f>'2007'!AZ78+'2007'!BA78</f>
        <v>423</v>
      </c>
      <c r="Q78" s="177">
        <f>'2007'!AU78</f>
        <v>202</v>
      </c>
      <c r="R78" s="177">
        <f t="shared" si="149"/>
        <v>369</v>
      </c>
      <c r="S78" s="177">
        <f t="shared" si="150"/>
        <v>192</v>
      </c>
      <c r="T78" s="177">
        <f t="shared" si="151"/>
        <v>435</v>
      </c>
      <c r="U78" s="179">
        <f t="shared" si="151"/>
        <v>661</v>
      </c>
      <c r="V78" s="177">
        <f t="shared" si="152"/>
        <v>105</v>
      </c>
      <c r="W78" s="177">
        <f t="shared" si="153"/>
        <v>115</v>
      </c>
      <c r="X78" s="177">
        <f t="shared" si="154"/>
        <v>181</v>
      </c>
      <c r="Y78" s="177">
        <f t="shared" si="155"/>
        <v>229</v>
      </c>
      <c r="Z78" s="177">
        <f t="shared" si="156"/>
        <v>330</v>
      </c>
      <c r="AA78" s="177">
        <f t="shared" si="157"/>
        <v>148</v>
      </c>
      <c r="AB78" s="179">
        <f t="shared" si="158"/>
        <v>160</v>
      </c>
      <c r="AC78" s="177">
        <f t="shared" si="159"/>
        <v>216</v>
      </c>
      <c r="AD78" s="177">
        <f t="shared" si="160"/>
        <v>160</v>
      </c>
      <c r="AE78" s="177">
        <f t="shared" si="161"/>
        <v>288</v>
      </c>
      <c r="AF78" s="177">
        <f t="shared" si="162"/>
        <v>179</v>
      </c>
      <c r="AG78" s="177">
        <f t="shared" si="163"/>
        <v>584</v>
      </c>
      <c r="AH78" s="177">
        <f t="shared" si="164"/>
        <v>239</v>
      </c>
      <c r="AI78" s="177">
        <f t="shared" si="165"/>
        <v>247</v>
      </c>
      <c r="AJ78" s="177">
        <f t="shared" si="166"/>
        <v>165</v>
      </c>
      <c r="AK78" s="179">
        <f t="shared" si="167"/>
        <v>233</v>
      </c>
      <c r="AL78" s="177">
        <f t="shared" si="168"/>
        <v>186</v>
      </c>
      <c r="AM78" s="177">
        <f t="shared" si="169"/>
        <v>458</v>
      </c>
      <c r="AN78" s="177">
        <f t="shared" si="170"/>
        <v>251</v>
      </c>
      <c r="AO78" s="177">
        <f t="shared" si="171"/>
        <v>366</v>
      </c>
      <c r="AP78" s="177">
        <f t="shared" si="171"/>
        <v>137</v>
      </c>
      <c r="AQ78" s="177">
        <f t="shared" si="172"/>
        <v>502</v>
      </c>
      <c r="AR78" s="177">
        <f t="shared" si="173"/>
        <v>317</v>
      </c>
      <c r="AS78" s="178">
        <f t="shared" si="174"/>
        <v>787</v>
      </c>
      <c r="AT78" s="181">
        <v>29</v>
      </c>
      <c r="AU78" s="181">
        <v>202</v>
      </c>
      <c r="AV78" s="181">
        <v>192</v>
      </c>
      <c r="AW78" s="181">
        <v>185</v>
      </c>
      <c r="AX78" s="181">
        <v>340</v>
      </c>
      <c r="AY78" s="177">
        <v>277</v>
      </c>
      <c r="AZ78" s="177">
        <v>18</v>
      </c>
      <c r="BA78" s="177">
        <v>405</v>
      </c>
      <c r="BB78" s="177">
        <v>435</v>
      </c>
      <c r="BC78" s="177">
        <v>661</v>
      </c>
      <c r="BD78" s="177">
        <v>487</v>
      </c>
      <c r="BE78" s="177">
        <v>192</v>
      </c>
      <c r="BF78" s="179">
        <v>447</v>
      </c>
      <c r="BG78" s="177">
        <v>6</v>
      </c>
      <c r="BH78" s="177">
        <v>15</v>
      </c>
      <c r="BI78" s="177">
        <v>166</v>
      </c>
      <c r="BJ78" s="177">
        <v>99</v>
      </c>
      <c r="BK78" s="177">
        <v>19</v>
      </c>
      <c r="BL78" s="177">
        <v>4</v>
      </c>
      <c r="BM78" s="177">
        <v>330</v>
      </c>
      <c r="BN78" s="177">
        <v>206</v>
      </c>
      <c r="BO78" s="177">
        <v>7</v>
      </c>
      <c r="BP78" s="177">
        <v>160</v>
      </c>
      <c r="BQ78" s="177">
        <v>141</v>
      </c>
      <c r="BR78" s="179">
        <v>115</v>
      </c>
      <c r="BS78" s="177">
        <v>29</v>
      </c>
      <c r="BT78" s="177">
        <v>259</v>
      </c>
      <c r="BU78" s="177">
        <v>160</v>
      </c>
      <c r="BV78" s="177">
        <v>584</v>
      </c>
      <c r="BW78" s="177">
        <v>247</v>
      </c>
      <c r="BX78" s="177">
        <v>216</v>
      </c>
      <c r="BY78" s="177">
        <v>165</v>
      </c>
      <c r="BZ78" s="177">
        <v>239</v>
      </c>
      <c r="CA78" s="177">
        <v>179</v>
      </c>
      <c r="CB78" s="179">
        <v>233</v>
      </c>
      <c r="CC78" s="177">
        <v>366</v>
      </c>
      <c r="CD78" s="177">
        <v>137</v>
      </c>
      <c r="CE78" s="177">
        <v>186</v>
      </c>
      <c r="CF78" s="177">
        <v>47</v>
      </c>
      <c r="CG78" s="177">
        <v>740</v>
      </c>
      <c r="CH78" s="177">
        <v>458</v>
      </c>
      <c r="CI78" s="177">
        <v>317</v>
      </c>
      <c r="CJ78" s="177">
        <v>251</v>
      </c>
      <c r="CK78" s="178">
        <v>502</v>
      </c>
      <c r="CL78" s="180">
        <v>10453</v>
      </c>
    </row>
    <row r="79" spans="1:90">
      <c r="A79" s="93">
        <f>ROWS($A$3:A77)</f>
        <v>75</v>
      </c>
      <c r="B79" s="67" t="s">
        <v>84</v>
      </c>
      <c r="C79" s="242">
        <v>2008</v>
      </c>
      <c r="D79" s="314"/>
      <c r="E79" s="333"/>
      <c r="F79" s="156"/>
      <c r="G79" s="177"/>
      <c r="H79" s="177"/>
      <c r="I79" s="178"/>
      <c r="J79" s="181"/>
      <c r="K79" s="156"/>
      <c r="L79" s="177"/>
      <c r="M79" s="177"/>
      <c r="N79" s="177"/>
      <c r="O79" s="177"/>
      <c r="P79" s="177"/>
      <c r="Q79" s="177"/>
      <c r="R79" s="177"/>
      <c r="S79" s="177"/>
      <c r="T79" s="177"/>
      <c r="U79" s="179"/>
      <c r="V79" s="177"/>
      <c r="W79" s="177"/>
      <c r="X79" s="177"/>
      <c r="Y79" s="177"/>
      <c r="Z79" s="177"/>
      <c r="AA79" s="177"/>
      <c r="AB79" s="179"/>
      <c r="AC79" s="177"/>
      <c r="AD79" s="177"/>
      <c r="AE79" s="177"/>
      <c r="AF79" s="177"/>
      <c r="AG79" s="177"/>
      <c r="AH79" s="177"/>
      <c r="AI79" s="177"/>
      <c r="AJ79" s="177"/>
      <c r="AK79" s="179"/>
      <c r="AL79" s="177"/>
      <c r="AM79" s="177"/>
      <c r="AN79" s="177"/>
      <c r="AO79" s="177"/>
      <c r="AP79" s="177"/>
      <c r="AQ79" s="177"/>
      <c r="AR79" s="177"/>
      <c r="AS79" s="178"/>
      <c r="AT79" s="177"/>
      <c r="AU79" s="177"/>
      <c r="AV79" s="177"/>
      <c r="AW79" s="177"/>
      <c r="AX79" s="177"/>
      <c r="AY79" s="177"/>
      <c r="AZ79" s="177"/>
      <c r="BA79" s="177"/>
      <c r="BB79" s="177"/>
      <c r="BC79" s="177"/>
      <c r="BD79" s="177"/>
      <c r="BE79" s="177"/>
      <c r="BF79" s="179"/>
      <c r="BG79" s="177"/>
      <c r="BH79" s="177"/>
      <c r="BI79" s="177"/>
      <c r="BJ79" s="177"/>
      <c r="BK79" s="177"/>
      <c r="BL79" s="177"/>
      <c r="BM79" s="177"/>
      <c r="BN79" s="177"/>
      <c r="BO79" s="177"/>
      <c r="BP79" s="177"/>
      <c r="BQ79" s="177"/>
      <c r="BR79" s="179"/>
      <c r="BS79" s="177"/>
      <c r="BT79" s="177"/>
      <c r="BU79" s="177"/>
      <c r="BV79" s="177"/>
      <c r="BW79" s="177"/>
      <c r="BX79" s="177"/>
      <c r="BY79" s="177"/>
      <c r="BZ79" s="177"/>
      <c r="CA79" s="177"/>
      <c r="CB79" s="179"/>
      <c r="CC79" s="177"/>
      <c r="CD79" s="177"/>
      <c r="CE79" s="177"/>
      <c r="CF79" s="177"/>
      <c r="CG79" s="177"/>
      <c r="CH79" s="177"/>
      <c r="CI79" s="177"/>
      <c r="CJ79" s="177"/>
      <c r="CK79" s="178"/>
      <c r="CL79" s="180" t="s">
        <v>60</v>
      </c>
    </row>
    <row r="80" spans="1:90">
      <c r="A80" s="93">
        <f>ROWS($A$3:A78)</f>
        <v>76</v>
      </c>
      <c r="B80" s="106" t="s">
        <v>96</v>
      </c>
      <c r="C80" s="245"/>
      <c r="D80" s="314" t="s">
        <v>14</v>
      </c>
      <c r="E80" s="334"/>
      <c r="F80" s="156">
        <v>16240</v>
      </c>
      <c r="G80" s="177">
        <v>5846</v>
      </c>
      <c r="H80" s="177">
        <v>14532</v>
      </c>
      <c r="I80" s="178">
        <v>14317</v>
      </c>
      <c r="J80" s="181"/>
      <c r="K80" s="156">
        <f t="shared" ref="K80:K85" si="175">BF80</f>
        <v>2583</v>
      </c>
      <c r="L80" s="177">
        <f t="shared" ref="L80:L85" si="176">AY80</f>
        <v>1200</v>
      </c>
      <c r="M80" s="177">
        <f t="shared" ref="M80:M85" si="177">BD80</f>
        <v>1954</v>
      </c>
      <c r="N80" s="177">
        <f t="shared" ref="N80:N85" si="178">AW80</f>
        <v>897</v>
      </c>
      <c r="O80" s="177">
        <f t="shared" ref="O80:O85" si="179">BE80</f>
        <v>684</v>
      </c>
      <c r="P80" s="177">
        <f>'2007'!AZ80+'2007'!BA80</f>
        <v>1200</v>
      </c>
      <c r="Q80" s="177">
        <f>'2007'!AU80</f>
        <v>0</v>
      </c>
      <c r="R80" s="177">
        <f t="shared" ref="R80:R85" si="180">AT80+AX80</f>
        <v>1181</v>
      </c>
      <c r="S80" s="177">
        <f t="shared" ref="S80:S85" si="181">AV80</f>
        <v>637</v>
      </c>
      <c r="T80" s="177">
        <f t="shared" ref="T80:U85" si="182">BB80</f>
        <v>1583</v>
      </c>
      <c r="U80" s="179">
        <f t="shared" si="182"/>
        <v>2844</v>
      </c>
      <c r="V80" s="177">
        <f t="shared" ref="V80:V85" si="183">BG80+BJ80</f>
        <v>570</v>
      </c>
      <c r="W80" s="177">
        <f t="shared" ref="W80:W85" si="184">BR80</f>
        <v>949</v>
      </c>
      <c r="X80" s="177">
        <f t="shared" ref="X80:X85" si="185">BH80+BI80</f>
        <v>810</v>
      </c>
      <c r="Y80" s="177">
        <f t="shared" ref="Y80:Y85" si="186">BK80+BL80+BN80</f>
        <v>1081</v>
      </c>
      <c r="Z80" s="177">
        <f t="shared" ref="Z80:Z85" si="187">BM80</f>
        <v>1246</v>
      </c>
      <c r="AA80" s="177">
        <f t="shared" ref="AA80:AA85" si="188">BO80+BQ80</f>
        <v>467</v>
      </c>
      <c r="AB80" s="179">
        <f t="shared" ref="AB80:AB85" si="189">BP80</f>
        <v>723</v>
      </c>
      <c r="AC80" s="177">
        <f t="shared" ref="AC80:AC85" si="190">BX80</f>
        <v>1373</v>
      </c>
      <c r="AD80" s="177">
        <f t="shared" ref="AD80:AD85" si="191">BU80</f>
        <v>1273</v>
      </c>
      <c r="AE80" s="177">
        <f t="shared" ref="AE80:AE85" si="192">BS80+BT80</f>
        <v>2289</v>
      </c>
      <c r="AF80" s="177">
        <f t="shared" ref="AF80:AF85" si="193">CA80</f>
        <v>1225</v>
      </c>
      <c r="AG80" s="177">
        <f t="shared" ref="AG80:AG85" si="194">BV80</f>
        <v>3639</v>
      </c>
      <c r="AH80" s="177">
        <f t="shared" ref="AH80:AH85" si="195">BZ80</f>
        <v>1046</v>
      </c>
      <c r="AI80" s="177">
        <f t="shared" ref="AI80:AI85" si="196">BW80</f>
        <v>1162</v>
      </c>
      <c r="AJ80" s="177">
        <f t="shared" ref="AJ80:AJ85" si="197">BY80</f>
        <v>603</v>
      </c>
      <c r="AK80" s="179">
        <f t="shared" ref="AK80:AK85" si="198">CB80</f>
        <v>1922</v>
      </c>
      <c r="AL80" s="177">
        <f t="shared" ref="AL80:AL85" si="199">CE80</f>
        <v>988</v>
      </c>
      <c r="AM80" s="177">
        <f t="shared" ref="AM80:AM85" si="200">CH80</f>
        <v>2353</v>
      </c>
      <c r="AN80" s="177">
        <f t="shared" ref="AN80:AN85" si="201">CJ80</f>
        <v>3357</v>
      </c>
      <c r="AO80" s="177">
        <f t="shared" ref="AO80:AP85" si="202">CC80</f>
        <v>1276</v>
      </c>
      <c r="AP80" s="177">
        <f t="shared" si="202"/>
        <v>513</v>
      </c>
      <c r="AQ80" s="177">
        <f t="shared" ref="AQ80:AQ85" si="203">CK80</f>
        <v>1720</v>
      </c>
      <c r="AR80" s="177">
        <f t="shared" ref="AR80:AR85" si="204">CI80</f>
        <v>1575</v>
      </c>
      <c r="AS80" s="178">
        <f t="shared" ref="AS80:AS85" si="205">CF80+CG80</f>
        <v>2535</v>
      </c>
      <c r="AT80" s="181">
        <v>0</v>
      </c>
      <c r="AU80" s="181">
        <v>0</v>
      </c>
      <c r="AV80" s="181">
        <v>637</v>
      </c>
      <c r="AW80" s="181">
        <v>897</v>
      </c>
      <c r="AX80" s="181">
        <v>1181</v>
      </c>
      <c r="AY80" s="177">
        <v>1200</v>
      </c>
      <c r="AZ80" s="177">
        <v>0</v>
      </c>
      <c r="BA80" s="177">
        <v>1200</v>
      </c>
      <c r="BB80" s="177">
        <v>1583</v>
      </c>
      <c r="BC80" s="177">
        <v>2844</v>
      </c>
      <c r="BD80" s="177">
        <v>1954</v>
      </c>
      <c r="BE80" s="177">
        <v>684</v>
      </c>
      <c r="BF80" s="179">
        <v>2583</v>
      </c>
      <c r="BG80" s="177">
        <v>0</v>
      </c>
      <c r="BH80" s="177">
        <v>0</v>
      </c>
      <c r="BI80" s="177">
        <v>810</v>
      </c>
      <c r="BJ80" s="177">
        <v>570</v>
      </c>
      <c r="BK80" s="177">
        <v>0</v>
      </c>
      <c r="BL80" s="177">
        <v>0</v>
      </c>
      <c r="BM80" s="177">
        <v>1246</v>
      </c>
      <c r="BN80" s="177">
        <v>1081</v>
      </c>
      <c r="BO80" s="177">
        <v>0</v>
      </c>
      <c r="BP80" s="177">
        <v>723</v>
      </c>
      <c r="BQ80" s="177">
        <v>467</v>
      </c>
      <c r="BR80" s="179">
        <v>949</v>
      </c>
      <c r="BS80" s="177">
        <v>0</v>
      </c>
      <c r="BT80" s="177">
        <v>2289</v>
      </c>
      <c r="BU80" s="177">
        <v>1273</v>
      </c>
      <c r="BV80" s="177">
        <v>3639</v>
      </c>
      <c r="BW80" s="177">
        <v>1162</v>
      </c>
      <c r="BX80" s="177">
        <v>1373</v>
      </c>
      <c r="BY80" s="177">
        <v>603</v>
      </c>
      <c r="BZ80" s="177">
        <v>1046</v>
      </c>
      <c r="CA80" s="177">
        <v>1225</v>
      </c>
      <c r="CB80" s="179">
        <v>1922</v>
      </c>
      <c r="CC80" s="177">
        <v>1276</v>
      </c>
      <c r="CD80" s="177">
        <v>513</v>
      </c>
      <c r="CE80" s="177">
        <v>988</v>
      </c>
      <c r="CF80" s="177">
        <v>0</v>
      </c>
      <c r="CG80" s="177">
        <v>2535</v>
      </c>
      <c r="CH80" s="177">
        <v>2353</v>
      </c>
      <c r="CI80" s="177">
        <v>1575</v>
      </c>
      <c r="CJ80" s="177">
        <v>3357</v>
      </c>
      <c r="CK80" s="178">
        <v>1720</v>
      </c>
      <c r="CL80" s="189">
        <v>1456</v>
      </c>
    </row>
    <row r="81" spans="1:90">
      <c r="A81" s="93">
        <f>ROWS($A$3:A79)</f>
        <v>77</v>
      </c>
      <c r="B81" s="106" t="s">
        <v>97</v>
      </c>
      <c r="C81" s="243"/>
      <c r="D81" s="314" t="s">
        <v>14</v>
      </c>
      <c r="E81" s="334"/>
      <c r="F81" s="156">
        <v>549195</v>
      </c>
      <c r="G81" s="177">
        <v>247320</v>
      </c>
      <c r="H81" s="177">
        <v>411311</v>
      </c>
      <c r="I81" s="178">
        <v>377603</v>
      </c>
      <c r="J81" s="181"/>
      <c r="K81" s="156">
        <f t="shared" si="175"/>
        <v>60088</v>
      </c>
      <c r="L81" s="177">
        <f t="shared" si="176"/>
        <v>49480</v>
      </c>
      <c r="M81" s="177">
        <f t="shared" si="177"/>
        <v>71091</v>
      </c>
      <c r="N81" s="177">
        <f t="shared" si="178"/>
        <v>31583</v>
      </c>
      <c r="O81" s="177">
        <f t="shared" si="179"/>
        <v>21161</v>
      </c>
      <c r="P81" s="177">
        <f>'2007'!AZ81+'2007'!BA81</f>
        <v>49480</v>
      </c>
      <c r="Q81" s="177">
        <f>'2007'!AU81</f>
        <v>0</v>
      </c>
      <c r="R81" s="177">
        <f t="shared" si="180"/>
        <v>56347</v>
      </c>
      <c r="S81" s="177">
        <f t="shared" si="181"/>
        <v>34772</v>
      </c>
      <c r="T81" s="177">
        <f t="shared" si="182"/>
        <v>41159</v>
      </c>
      <c r="U81" s="179">
        <f t="shared" si="182"/>
        <v>74062</v>
      </c>
      <c r="V81" s="177">
        <f t="shared" si="183"/>
        <v>25153</v>
      </c>
      <c r="W81" s="177">
        <f t="shared" si="184"/>
        <v>26263</v>
      </c>
      <c r="X81" s="177">
        <f t="shared" si="185"/>
        <v>41739</v>
      </c>
      <c r="Y81" s="177">
        <f t="shared" si="186"/>
        <v>41846</v>
      </c>
      <c r="Z81" s="177">
        <f t="shared" si="187"/>
        <v>51140</v>
      </c>
      <c r="AA81" s="177">
        <f t="shared" si="188"/>
        <v>33188</v>
      </c>
      <c r="AB81" s="179">
        <f t="shared" si="189"/>
        <v>27991</v>
      </c>
      <c r="AC81" s="177">
        <f t="shared" si="190"/>
        <v>35725</v>
      </c>
      <c r="AD81" s="177">
        <f t="shared" si="191"/>
        <v>33481</v>
      </c>
      <c r="AE81" s="177">
        <f t="shared" si="192"/>
        <v>60402</v>
      </c>
      <c r="AF81" s="177">
        <f t="shared" si="193"/>
        <v>38371</v>
      </c>
      <c r="AG81" s="177">
        <f t="shared" si="194"/>
        <v>89202</v>
      </c>
      <c r="AH81" s="177">
        <f t="shared" si="195"/>
        <v>37474</v>
      </c>
      <c r="AI81" s="177">
        <f t="shared" si="196"/>
        <v>36645</v>
      </c>
      <c r="AJ81" s="177">
        <f t="shared" si="197"/>
        <v>26843</v>
      </c>
      <c r="AK81" s="179">
        <f t="shared" si="198"/>
        <v>53168</v>
      </c>
      <c r="AL81" s="177">
        <f t="shared" si="199"/>
        <v>39724</v>
      </c>
      <c r="AM81" s="177">
        <f t="shared" si="200"/>
        <v>57458</v>
      </c>
      <c r="AN81" s="177">
        <f t="shared" si="201"/>
        <v>53437</v>
      </c>
      <c r="AO81" s="177">
        <f t="shared" si="202"/>
        <v>49117</v>
      </c>
      <c r="AP81" s="177">
        <f t="shared" si="202"/>
        <v>31570</v>
      </c>
      <c r="AQ81" s="177">
        <f t="shared" si="203"/>
        <v>47176</v>
      </c>
      <c r="AR81" s="177">
        <f t="shared" si="204"/>
        <v>33661</v>
      </c>
      <c r="AS81" s="178">
        <f t="shared" si="205"/>
        <v>65460</v>
      </c>
      <c r="AT81" s="181">
        <v>0</v>
      </c>
      <c r="AU81" s="181">
        <v>0</v>
      </c>
      <c r="AV81" s="181">
        <v>34772</v>
      </c>
      <c r="AW81" s="181">
        <v>31583</v>
      </c>
      <c r="AX81" s="181">
        <v>56347</v>
      </c>
      <c r="AY81" s="177">
        <v>49480</v>
      </c>
      <c r="AZ81" s="177">
        <v>0</v>
      </c>
      <c r="BA81" s="177">
        <v>49480</v>
      </c>
      <c r="BB81" s="177">
        <v>41159</v>
      </c>
      <c r="BC81" s="177">
        <v>74062</v>
      </c>
      <c r="BD81" s="177">
        <v>71091</v>
      </c>
      <c r="BE81" s="177">
        <v>21161</v>
      </c>
      <c r="BF81" s="179">
        <v>60088</v>
      </c>
      <c r="BG81" s="177">
        <v>0</v>
      </c>
      <c r="BH81" s="177">
        <v>0</v>
      </c>
      <c r="BI81" s="177">
        <v>41739</v>
      </c>
      <c r="BJ81" s="177">
        <v>25153</v>
      </c>
      <c r="BK81" s="177">
        <v>0</v>
      </c>
      <c r="BL81" s="177">
        <v>0</v>
      </c>
      <c r="BM81" s="177">
        <v>51140</v>
      </c>
      <c r="BN81" s="177">
        <v>41846</v>
      </c>
      <c r="BO81" s="177">
        <v>0</v>
      </c>
      <c r="BP81" s="177">
        <v>27991</v>
      </c>
      <c r="BQ81" s="177">
        <v>33188</v>
      </c>
      <c r="BR81" s="179">
        <v>26263</v>
      </c>
      <c r="BS81" s="177">
        <v>0</v>
      </c>
      <c r="BT81" s="177">
        <v>60402</v>
      </c>
      <c r="BU81" s="177">
        <v>33481</v>
      </c>
      <c r="BV81" s="177">
        <v>89202</v>
      </c>
      <c r="BW81" s="177">
        <v>36645</v>
      </c>
      <c r="BX81" s="177">
        <v>35725</v>
      </c>
      <c r="BY81" s="177">
        <v>26843</v>
      </c>
      <c r="BZ81" s="177">
        <v>37474</v>
      </c>
      <c r="CA81" s="177">
        <v>38371</v>
      </c>
      <c r="CB81" s="179">
        <v>53168</v>
      </c>
      <c r="CC81" s="177">
        <v>49117</v>
      </c>
      <c r="CD81" s="177">
        <v>31570</v>
      </c>
      <c r="CE81" s="177">
        <v>39724</v>
      </c>
      <c r="CF81" s="177">
        <v>0</v>
      </c>
      <c r="CG81" s="177">
        <v>65460</v>
      </c>
      <c r="CH81" s="177">
        <v>57458</v>
      </c>
      <c r="CI81" s="177">
        <v>33661</v>
      </c>
      <c r="CJ81" s="177">
        <v>53437</v>
      </c>
      <c r="CK81" s="178">
        <v>47176</v>
      </c>
      <c r="CL81" s="189">
        <v>45296</v>
      </c>
    </row>
    <row r="82" spans="1:90">
      <c r="A82" s="93">
        <f>ROWS($A$3:A80)</f>
        <v>78</v>
      </c>
      <c r="B82" s="62" t="s">
        <v>98</v>
      </c>
      <c r="C82" s="312"/>
      <c r="D82" s="314" t="s">
        <v>14</v>
      </c>
      <c r="E82" s="334"/>
      <c r="F82" s="182">
        <f>IF(OR(F80&lt;0.1,F81&lt;0.1),0,F81/F80)</f>
        <v>33.817426108374384</v>
      </c>
      <c r="G82" s="183">
        <f>IF(OR(G80&lt;0.1,G81&lt;0.1),0,G81/G80)</f>
        <v>42.305850153951418</v>
      </c>
      <c r="H82" s="183">
        <f>IF(OR(H80&lt;0.1,H81&lt;0.1),0,H81/H80)</f>
        <v>28.303812276355629</v>
      </c>
      <c r="I82" s="184">
        <f>IF(OR(I80&lt;0.1,I81&lt;0.1),0,I81/I80)</f>
        <v>26.374449954599427</v>
      </c>
      <c r="J82" s="181"/>
      <c r="K82" s="185">
        <f t="shared" si="175"/>
        <v>23.262872628726289</v>
      </c>
      <c r="L82" s="186">
        <f t="shared" si="176"/>
        <v>41.233333333333334</v>
      </c>
      <c r="M82" s="186">
        <f t="shared" si="177"/>
        <v>36.382292732855682</v>
      </c>
      <c r="N82" s="186">
        <f t="shared" si="178"/>
        <v>35.20958751393534</v>
      </c>
      <c r="O82" s="186">
        <f t="shared" si="179"/>
        <v>30.937134502923978</v>
      </c>
      <c r="P82" s="183">
        <f>P81/P80</f>
        <v>41.233333333333334</v>
      </c>
      <c r="Q82" s="186">
        <f>'2007'!AU82</f>
        <v>0</v>
      </c>
      <c r="R82" s="186">
        <f t="shared" si="180"/>
        <v>47.711261642675701</v>
      </c>
      <c r="S82" s="186">
        <f t="shared" si="181"/>
        <v>54.587127158555731</v>
      </c>
      <c r="T82" s="186">
        <f t="shared" si="182"/>
        <v>26.000631711939356</v>
      </c>
      <c r="U82" s="187">
        <f t="shared" si="182"/>
        <v>26.041490857946552</v>
      </c>
      <c r="V82" s="186">
        <f t="shared" si="183"/>
        <v>44.128070175438594</v>
      </c>
      <c r="W82" s="186">
        <f t="shared" si="184"/>
        <v>27.674394099051632</v>
      </c>
      <c r="X82" s="186">
        <f t="shared" si="185"/>
        <v>51.529629629629632</v>
      </c>
      <c r="Y82" s="186">
        <f t="shared" si="186"/>
        <v>38.710453283996301</v>
      </c>
      <c r="Z82" s="186">
        <f t="shared" si="187"/>
        <v>41.043338683788122</v>
      </c>
      <c r="AA82" s="186">
        <f t="shared" si="188"/>
        <v>71.066381156316922</v>
      </c>
      <c r="AB82" s="187">
        <f t="shared" si="189"/>
        <v>38.715076071922546</v>
      </c>
      <c r="AC82" s="186">
        <f t="shared" si="190"/>
        <v>26.019664967225054</v>
      </c>
      <c r="AD82" s="186">
        <f t="shared" si="191"/>
        <v>26.300864100549884</v>
      </c>
      <c r="AE82" s="186">
        <f t="shared" si="192"/>
        <v>26.387942332896461</v>
      </c>
      <c r="AF82" s="186">
        <f t="shared" si="193"/>
        <v>31.323265306122448</v>
      </c>
      <c r="AG82" s="186">
        <f t="shared" si="194"/>
        <v>24.512778235779059</v>
      </c>
      <c r="AH82" s="186">
        <f t="shared" si="195"/>
        <v>35.826003824091778</v>
      </c>
      <c r="AI82" s="186">
        <f t="shared" si="196"/>
        <v>31.536144578313252</v>
      </c>
      <c r="AJ82" s="186">
        <f t="shared" si="197"/>
        <v>44.515754560530681</v>
      </c>
      <c r="AK82" s="187">
        <f t="shared" si="198"/>
        <v>27.662851196670136</v>
      </c>
      <c r="AL82" s="186">
        <f t="shared" si="199"/>
        <v>40.206477732793523</v>
      </c>
      <c r="AM82" s="186">
        <f t="shared" si="200"/>
        <v>24.4190395240119</v>
      </c>
      <c r="AN82" s="186">
        <f t="shared" si="201"/>
        <v>15.918081620494489</v>
      </c>
      <c r="AO82" s="186">
        <f t="shared" si="202"/>
        <v>38.492946708463947</v>
      </c>
      <c r="AP82" s="186">
        <f t="shared" si="202"/>
        <v>61.539961013645225</v>
      </c>
      <c r="AQ82" s="186">
        <f t="shared" si="203"/>
        <v>27.427906976744186</v>
      </c>
      <c r="AR82" s="186">
        <f t="shared" si="204"/>
        <v>21.372063492063493</v>
      </c>
      <c r="AS82" s="190">
        <f t="shared" si="205"/>
        <v>25.822485207100591</v>
      </c>
      <c r="AT82" s="186">
        <v>0</v>
      </c>
      <c r="AU82" s="183">
        <f t="shared" ref="AU82:CL82" si="206">IF(OR(AU80&lt;0.1,AU81&lt;0.1),0,AU81/AU80)</f>
        <v>0</v>
      </c>
      <c r="AV82" s="183">
        <f t="shared" si="206"/>
        <v>54.587127158555731</v>
      </c>
      <c r="AW82" s="183">
        <f t="shared" si="206"/>
        <v>35.20958751393534</v>
      </c>
      <c r="AX82" s="183">
        <f t="shared" si="206"/>
        <v>47.711261642675701</v>
      </c>
      <c r="AY82" s="183">
        <f t="shared" si="206"/>
        <v>41.233333333333334</v>
      </c>
      <c r="AZ82" s="183">
        <f t="shared" si="206"/>
        <v>0</v>
      </c>
      <c r="BA82" s="183">
        <f t="shared" si="206"/>
        <v>41.233333333333334</v>
      </c>
      <c r="BB82" s="183">
        <f t="shared" si="206"/>
        <v>26.000631711939356</v>
      </c>
      <c r="BC82" s="183">
        <f t="shared" si="206"/>
        <v>26.041490857946552</v>
      </c>
      <c r="BD82" s="183">
        <f t="shared" si="206"/>
        <v>36.382292732855682</v>
      </c>
      <c r="BE82" s="183">
        <f t="shared" si="206"/>
        <v>30.937134502923978</v>
      </c>
      <c r="BF82" s="188">
        <f t="shared" si="206"/>
        <v>23.262872628726289</v>
      </c>
      <c r="BG82" s="183">
        <f t="shared" si="206"/>
        <v>0</v>
      </c>
      <c r="BH82" s="183">
        <f t="shared" si="206"/>
        <v>0</v>
      </c>
      <c r="BI82" s="183">
        <f t="shared" si="206"/>
        <v>51.529629629629632</v>
      </c>
      <c r="BJ82" s="183">
        <f t="shared" si="206"/>
        <v>44.128070175438594</v>
      </c>
      <c r="BK82" s="183">
        <f t="shared" si="206"/>
        <v>0</v>
      </c>
      <c r="BL82" s="183">
        <f t="shared" si="206"/>
        <v>0</v>
      </c>
      <c r="BM82" s="183">
        <f t="shared" si="206"/>
        <v>41.043338683788122</v>
      </c>
      <c r="BN82" s="183">
        <f t="shared" si="206"/>
        <v>38.710453283996301</v>
      </c>
      <c r="BO82" s="183">
        <f t="shared" si="206"/>
        <v>0</v>
      </c>
      <c r="BP82" s="183">
        <f t="shared" si="206"/>
        <v>38.715076071922546</v>
      </c>
      <c r="BQ82" s="183">
        <f t="shared" si="206"/>
        <v>71.066381156316922</v>
      </c>
      <c r="BR82" s="188">
        <f t="shared" si="206"/>
        <v>27.674394099051632</v>
      </c>
      <c r="BS82" s="183">
        <f t="shared" si="206"/>
        <v>0</v>
      </c>
      <c r="BT82" s="183">
        <f t="shared" si="206"/>
        <v>26.387942332896461</v>
      </c>
      <c r="BU82" s="183">
        <f t="shared" si="206"/>
        <v>26.300864100549884</v>
      </c>
      <c r="BV82" s="183">
        <f t="shared" si="206"/>
        <v>24.512778235779059</v>
      </c>
      <c r="BW82" s="183">
        <f t="shared" si="206"/>
        <v>31.536144578313252</v>
      </c>
      <c r="BX82" s="183">
        <f t="shared" si="206"/>
        <v>26.019664967225054</v>
      </c>
      <c r="BY82" s="183">
        <f t="shared" si="206"/>
        <v>44.515754560530681</v>
      </c>
      <c r="BZ82" s="183">
        <f t="shared" si="206"/>
        <v>35.826003824091778</v>
      </c>
      <c r="CA82" s="183">
        <f t="shared" si="206"/>
        <v>31.323265306122448</v>
      </c>
      <c r="CB82" s="188">
        <f t="shared" si="206"/>
        <v>27.662851196670136</v>
      </c>
      <c r="CC82" s="183">
        <f t="shared" si="206"/>
        <v>38.492946708463947</v>
      </c>
      <c r="CD82" s="183">
        <f t="shared" si="206"/>
        <v>61.539961013645225</v>
      </c>
      <c r="CE82" s="183">
        <f t="shared" si="206"/>
        <v>40.206477732793523</v>
      </c>
      <c r="CF82" s="183">
        <f t="shared" si="206"/>
        <v>0</v>
      </c>
      <c r="CG82" s="183">
        <f t="shared" si="206"/>
        <v>25.822485207100591</v>
      </c>
      <c r="CH82" s="183">
        <f t="shared" si="206"/>
        <v>24.4190395240119</v>
      </c>
      <c r="CI82" s="183">
        <f t="shared" si="206"/>
        <v>21.372063492063493</v>
      </c>
      <c r="CJ82" s="183">
        <f t="shared" si="206"/>
        <v>15.918081620494489</v>
      </c>
      <c r="CK82" s="184">
        <f t="shared" si="206"/>
        <v>27.427906976744186</v>
      </c>
      <c r="CL82" s="189">
        <f t="shared" si="206"/>
        <v>31.109890109890109</v>
      </c>
    </row>
    <row r="83" spans="1:90">
      <c r="A83" s="93">
        <f>ROWS($A$3:A81)</f>
        <v>79</v>
      </c>
      <c r="B83" s="106" t="s">
        <v>99</v>
      </c>
      <c r="C83" s="243"/>
      <c r="D83" s="314" t="s">
        <v>1</v>
      </c>
      <c r="E83" s="334"/>
      <c r="F83" s="157">
        <v>1.33</v>
      </c>
      <c r="G83" s="158">
        <v>1.1599999999999999</v>
      </c>
      <c r="H83" s="158">
        <v>1.08</v>
      </c>
      <c r="I83" s="159">
        <v>1.47</v>
      </c>
      <c r="J83" s="162"/>
      <c r="K83" s="157">
        <f t="shared" si="175"/>
        <v>1.58</v>
      </c>
      <c r="L83" s="158">
        <f t="shared" si="176"/>
        <v>0.79</v>
      </c>
      <c r="M83" s="158">
        <f t="shared" si="177"/>
        <v>1.7</v>
      </c>
      <c r="N83" s="158">
        <f t="shared" si="178"/>
        <v>1.21</v>
      </c>
      <c r="O83" s="158">
        <f t="shared" si="179"/>
        <v>1.64</v>
      </c>
      <c r="P83" s="158">
        <f>'2007'!AZ83+'2007'!BA83</f>
        <v>0.79</v>
      </c>
      <c r="Q83" s="158">
        <f>'2007'!AU83</f>
        <v>0</v>
      </c>
      <c r="R83" s="158">
        <f t="shared" si="180"/>
        <v>0.86</v>
      </c>
      <c r="S83" s="158">
        <f t="shared" si="181"/>
        <v>0.57999999999999996</v>
      </c>
      <c r="T83" s="158">
        <f t="shared" si="182"/>
        <v>2.04</v>
      </c>
      <c r="U83" s="160">
        <f t="shared" si="182"/>
        <v>2</v>
      </c>
      <c r="V83" s="158">
        <f t="shared" si="183"/>
        <v>0.83</v>
      </c>
      <c r="W83" s="158">
        <f t="shared" si="184"/>
        <v>0.93</v>
      </c>
      <c r="X83" s="158">
        <f t="shared" si="185"/>
        <v>1.19</v>
      </c>
      <c r="Y83" s="158">
        <f t="shared" si="186"/>
        <v>1.51</v>
      </c>
      <c r="Z83" s="158">
        <f t="shared" si="187"/>
        <v>1.47</v>
      </c>
      <c r="AA83" s="158">
        <f t="shared" si="188"/>
        <v>0.77</v>
      </c>
      <c r="AB83" s="160">
        <f t="shared" si="189"/>
        <v>0.74</v>
      </c>
      <c r="AC83" s="158">
        <f t="shared" si="190"/>
        <v>1.5</v>
      </c>
      <c r="AD83" s="158">
        <f t="shared" si="191"/>
        <v>0.82</v>
      </c>
      <c r="AE83" s="158">
        <f t="shared" si="192"/>
        <v>1.1599999999999999</v>
      </c>
      <c r="AF83" s="158">
        <f t="shared" si="193"/>
        <v>0.96</v>
      </c>
      <c r="AG83" s="158">
        <f t="shared" si="194"/>
        <v>0.8</v>
      </c>
      <c r="AH83" s="158">
        <f t="shared" si="195"/>
        <v>1.31</v>
      </c>
      <c r="AI83" s="158">
        <f t="shared" si="196"/>
        <v>1.1299999999999999</v>
      </c>
      <c r="AJ83" s="158">
        <f t="shared" si="197"/>
        <v>1.1200000000000001</v>
      </c>
      <c r="AK83" s="160">
        <f t="shared" si="198"/>
        <v>1.34</v>
      </c>
      <c r="AL83" s="158">
        <f t="shared" si="199"/>
        <v>0.94</v>
      </c>
      <c r="AM83" s="158">
        <f t="shared" si="200"/>
        <v>1.84</v>
      </c>
      <c r="AN83" s="158">
        <f t="shared" si="201"/>
        <v>2.0299999999999998</v>
      </c>
      <c r="AO83" s="158">
        <f t="shared" si="202"/>
        <v>0.99</v>
      </c>
      <c r="AP83" s="158">
        <f t="shared" si="202"/>
        <v>0.78</v>
      </c>
      <c r="AQ83" s="158">
        <f t="shared" si="203"/>
        <v>1.6</v>
      </c>
      <c r="AR83" s="158">
        <f t="shared" si="204"/>
        <v>1.52</v>
      </c>
      <c r="AS83" s="159">
        <f t="shared" si="205"/>
        <v>1.71</v>
      </c>
      <c r="AT83" s="162">
        <v>0</v>
      </c>
      <c r="AU83" s="162">
        <v>0</v>
      </c>
      <c r="AV83" s="162">
        <v>0.57999999999999996</v>
      </c>
      <c r="AW83" s="162">
        <v>1.21</v>
      </c>
      <c r="AX83" s="162">
        <v>0.86</v>
      </c>
      <c r="AY83" s="158">
        <v>0.79</v>
      </c>
      <c r="AZ83" s="158">
        <v>0</v>
      </c>
      <c r="BA83" s="158">
        <v>0.79</v>
      </c>
      <c r="BB83" s="158">
        <v>2.04</v>
      </c>
      <c r="BC83" s="158">
        <v>2</v>
      </c>
      <c r="BD83" s="158">
        <v>1.7</v>
      </c>
      <c r="BE83" s="158">
        <v>1.64</v>
      </c>
      <c r="BF83" s="160">
        <v>1.58</v>
      </c>
      <c r="BG83" s="158">
        <v>0</v>
      </c>
      <c r="BH83" s="158">
        <v>0</v>
      </c>
      <c r="BI83" s="158">
        <v>1.19</v>
      </c>
      <c r="BJ83" s="158">
        <v>0.83</v>
      </c>
      <c r="BK83" s="158">
        <v>0</v>
      </c>
      <c r="BL83" s="158">
        <v>0</v>
      </c>
      <c r="BM83" s="158">
        <v>1.47</v>
      </c>
      <c r="BN83" s="158">
        <v>1.51</v>
      </c>
      <c r="BO83" s="158">
        <v>0</v>
      </c>
      <c r="BP83" s="158">
        <v>0.74</v>
      </c>
      <c r="BQ83" s="158">
        <v>0.77</v>
      </c>
      <c r="BR83" s="160">
        <v>0.93</v>
      </c>
      <c r="BS83" s="158">
        <v>0</v>
      </c>
      <c r="BT83" s="158">
        <v>1.1599999999999999</v>
      </c>
      <c r="BU83" s="158">
        <v>0.82</v>
      </c>
      <c r="BV83" s="158">
        <v>0.8</v>
      </c>
      <c r="BW83" s="158">
        <v>1.1299999999999999</v>
      </c>
      <c r="BX83" s="158">
        <v>1.5</v>
      </c>
      <c r="BY83" s="158">
        <v>1.1200000000000001</v>
      </c>
      <c r="BZ83" s="158">
        <v>1.31</v>
      </c>
      <c r="CA83" s="158">
        <v>0.96</v>
      </c>
      <c r="CB83" s="160">
        <v>1.34</v>
      </c>
      <c r="CC83" s="158">
        <v>0.99</v>
      </c>
      <c r="CD83" s="158">
        <v>0.78</v>
      </c>
      <c r="CE83" s="158">
        <v>0.94</v>
      </c>
      <c r="CF83" s="158">
        <v>0</v>
      </c>
      <c r="CG83" s="158">
        <v>1.71</v>
      </c>
      <c r="CH83" s="158">
        <v>1.84</v>
      </c>
      <c r="CI83" s="158">
        <v>1.52</v>
      </c>
      <c r="CJ83" s="158">
        <v>2.0299999999999998</v>
      </c>
      <c r="CK83" s="159">
        <v>1.6</v>
      </c>
      <c r="CL83" s="161">
        <v>1.28</v>
      </c>
    </row>
    <row r="84" spans="1:90">
      <c r="A84" s="93">
        <f>ROWS($A$3:A82)</f>
        <v>80</v>
      </c>
      <c r="B84" s="106" t="s">
        <v>100</v>
      </c>
      <c r="C84" s="243"/>
      <c r="D84" s="314" t="s">
        <v>1</v>
      </c>
      <c r="E84" s="334"/>
      <c r="F84" s="157">
        <v>0.77</v>
      </c>
      <c r="G84" s="158">
        <v>0.68</v>
      </c>
      <c r="H84" s="158">
        <v>1.05</v>
      </c>
      <c r="I84" s="159">
        <v>1.23</v>
      </c>
      <c r="J84" s="162"/>
      <c r="K84" s="157">
        <f t="shared" si="175"/>
        <v>1.1599999999999999</v>
      </c>
      <c r="L84" s="158">
        <f t="shared" si="176"/>
        <v>0.64</v>
      </c>
      <c r="M84" s="158">
        <f t="shared" si="177"/>
        <v>0.56000000000000005</v>
      </c>
      <c r="N84" s="158">
        <f t="shared" si="178"/>
        <v>0.93</v>
      </c>
      <c r="O84" s="158">
        <f t="shared" si="179"/>
        <v>1.1100000000000001</v>
      </c>
      <c r="P84" s="158">
        <f>'2007'!AZ84+'2007'!BA84</f>
        <v>0.64</v>
      </c>
      <c r="Q84" s="158">
        <f>'2007'!AU84</f>
        <v>0</v>
      </c>
      <c r="R84" s="158">
        <f t="shared" si="180"/>
        <v>0.4</v>
      </c>
      <c r="S84" s="158">
        <f t="shared" si="181"/>
        <v>0.63</v>
      </c>
      <c r="T84" s="158">
        <f t="shared" si="182"/>
        <v>0.69</v>
      </c>
      <c r="U84" s="160">
        <f t="shared" si="182"/>
        <v>0.94</v>
      </c>
      <c r="V84" s="158">
        <f t="shared" si="183"/>
        <v>0.67</v>
      </c>
      <c r="W84" s="158">
        <f t="shared" si="184"/>
        <v>0.94</v>
      </c>
      <c r="X84" s="158">
        <f t="shared" si="185"/>
        <v>0.64</v>
      </c>
      <c r="Y84" s="158">
        <f t="shared" si="186"/>
        <v>0.79</v>
      </c>
      <c r="Z84" s="158">
        <f t="shared" si="187"/>
        <v>0.65</v>
      </c>
      <c r="AA84" s="158">
        <f t="shared" si="188"/>
        <v>0.5</v>
      </c>
      <c r="AB84" s="160">
        <f t="shared" si="189"/>
        <v>0.71</v>
      </c>
      <c r="AC84" s="158">
        <f t="shared" si="190"/>
        <v>1.38</v>
      </c>
      <c r="AD84" s="158">
        <f t="shared" si="191"/>
        <v>1.02</v>
      </c>
      <c r="AE84" s="158">
        <f t="shared" si="192"/>
        <v>1.43</v>
      </c>
      <c r="AF84" s="158">
        <f t="shared" si="193"/>
        <v>0.89</v>
      </c>
      <c r="AG84" s="158">
        <f t="shared" si="194"/>
        <v>0.94</v>
      </c>
      <c r="AH84" s="158">
        <f t="shared" si="195"/>
        <v>0.91</v>
      </c>
      <c r="AI84" s="158">
        <f t="shared" si="196"/>
        <v>0.91</v>
      </c>
      <c r="AJ84" s="158">
        <f t="shared" si="197"/>
        <v>0.96</v>
      </c>
      <c r="AK84" s="160">
        <f t="shared" si="198"/>
        <v>1</v>
      </c>
      <c r="AL84" s="158">
        <f t="shared" si="199"/>
        <v>0.94</v>
      </c>
      <c r="AM84" s="158">
        <f t="shared" si="200"/>
        <v>1.34</v>
      </c>
      <c r="AN84" s="158">
        <f t="shared" si="201"/>
        <v>2.21</v>
      </c>
      <c r="AO84" s="158">
        <f t="shared" si="202"/>
        <v>0.97</v>
      </c>
      <c r="AP84" s="158">
        <f t="shared" si="202"/>
        <v>0.54</v>
      </c>
      <c r="AQ84" s="158">
        <f t="shared" si="203"/>
        <v>1.06</v>
      </c>
      <c r="AR84" s="158">
        <f t="shared" si="204"/>
        <v>1.1599999999999999</v>
      </c>
      <c r="AS84" s="159">
        <f t="shared" si="205"/>
        <v>1</v>
      </c>
      <c r="AT84" s="162">
        <v>0</v>
      </c>
      <c r="AU84" s="162">
        <v>0</v>
      </c>
      <c r="AV84" s="162">
        <v>0.63</v>
      </c>
      <c r="AW84" s="162">
        <v>0.93</v>
      </c>
      <c r="AX84" s="162">
        <v>0.4</v>
      </c>
      <c r="AY84" s="158">
        <v>0.64</v>
      </c>
      <c r="AZ84" s="158">
        <v>0</v>
      </c>
      <c r="BA84" s="158">
        <v>0.64</v>
      </c>
      <c r="BB84" s="158">
        <v>0.69</v>
      </c>
      <c r="BC84" s="158">
        <v>0.94</v>
      </c>
      <c r="BD84" s="158">
        <v>0.56000000000000005</v>
      </c>
      <c r="BE84" s="158">
        <v>1.1100000000000001</v>
      </c>
      <c r="BF84" s="160">
        <v>1.1599999999999999</v>
      </c>
      <c r="BG84" s="158">
        <v>0</v>
      </c>
      <c r="BH84" s="158">
        <v>0</v>
      </c>
      <c r="BI84" s="158">
        <v>0.64</v>
      </c>
      <c r="BJ84" s="158">
        <v>0.67</v>
      </c>
      <c r="BK84" s="158">
        <v>0</v>
      </c>
      <c r="BL84" s="158">
        <v>0</v>
      </c>
      <c r="BM84" s="158">
        <v>0.65</v>
      </c>
      <c r="BN84" s="158">
        <v>0.79</v>
      </c>
      <c r="BO84" s="158">
        <v>0</v>
      </c>
      <c r="BP84" s="158">
        <v>0.71</v>
      </c>
      <c r="BQ84" s="158">
        <v>0.5</v>
      </c>
      <c r="BR84" s="160">
        <v>0.94</v>
      </c>
      <c r="BS84" s="158">
        <v>0</v>
      </c>
      <c r="BT84" s="158">
        <v>1.43</v>
      </c>
      <c r="BU84" s="158">
        <v>1.02</v>
      </c>
      <c r="BV84" s="158">
        <v>0.94</v>
      </c>
      <c r="BW84" s="158">
        <v>0.91</v>
      </c>
      <c r="BX84" s="158">
        <v>1.38</v>
      </c>
      <c r="BY84" s="158">
        <v>0.96</v>
      </c>
      <c r="BZ84" s="158">
        <v>0.91</v>
      </c>
      <c r="CA84" s="158">
        <v>0.89</v>
      </c>
      <c r="CB84" s="160">
        <v>1</v>
      </c>
      <c r="CC84" s="158">
        <v>0.97</v>
      </c>
      <c r="CD84" s="158">
        <v>0.54</v>
      </c>
      <c r="CE84" s="158">
        <v>0.94</v>
      </c>
      <c r="CF84" s="158">
        <v>0</v>
      </c>
      <c r="CG84" s="158">
        <v>1</v>
      </c>
      <c r="CH84" s="158">
        <v>1.34</v>
      </c>
      <c r="CI84" s="158">
        <v>1.1599999999999999</v>
      </c>
      <c r="CJ84" s="158">
        <v>2.21</v>
      </c>
      <c r="CK84" s="159">
        <v>1.06</v>
      </c>
      <c r="CL84" s="161">
        <v>0.96</v>
      </c>
    </row>
    <row r="85" spans="1:90">
      <c r="A85" s="93">
        <f>ROWS($A$3:A83)</f>
        <v>81</v>
      </c>
      <c r="B85" s="106" t="s">
        <v>101</v>
      </c>
      <c r="C85" s="243"/>
      <c r="D85" s="314" t="s">
        <v>1</v>
      </c>
      <c r="E85" s="334"/>
      <c r="F85" s="157">
        <v>0.08</v>
      </c>
      <c r="G85" s="158">
        <v>0.04</v>
      </c>
      <c r="H85" s="158">
        <v>0.09</v>
      </c>
      <c r="I85" s="159">
        <v>0.06</v>
      </c>
      <c r="J85" s="162"/>
      <c r="K85" s="157">
        <f t="shared" si="175"/>
        <v>0.01</v>
      </c>
      <c r="L85" s="158">
        <f t="shared" si="176"/>
        <v>0.09</v>
      </c>
      <c r="M85" s="158">
        <f t="shared" si="177"/>
        <v>7.0000000000000007E-2</v>
      </c>
      <c r="N85" s="158">
        <f t="shared" si="178"/>
        <v>0.01</v>
      </c>
      <c r="O85" s="158">
        <f t="shared" si="179"/>
        <v>0</v>
      </c>
      <c r="P85" s="158">
        <f>'2007'!AZ85+'2007'!BA85</f>
        <v>0.09</v>
      </c>
      <c r="Q85" s="158">
        <f>'2007'!AU85</f>
        <v>0</v>
      </c>
      <c r="R85" s="158">
        <f t="shared" si="180"/>
        <v>0.17</v>
      </c>
      <c r="S85" s="158">
        <f t="shared" si="181"/>
        <v>0.02</v>
      </c>
      <c r="T85" s="158">
        <f t="shared" si="182"/>
        <v>0.11</v>
      </c>
      <c r="U85" s="160">
        <f t="shared" si="182"/>
        <v>0</v>
      </c>
      <c r="V85" s="158">
        <f t="shared" si="183"/>
        <v>0.14000000000000001</v>
      </c>
      <c r="W85" s="158">
        <f t="shared" si="184"/>
        <v>0</v>
      </c>
      <c r="X85" s="158">
        <f t="shared" si="185"/>
        <v>7.0000000000000007E-2</v>
      </c>
      <c r="Y85" s="158">
        <f t="shared" si="186"/>
        <v>0.08</v>
      </c>
      <c r="Z85" s="158">
        <f t="shared" si="187"/>
        <v>0.02</v>
      </c>
      <c r="AA85" s="158">
        <f t="shared" si="188"/>
        <v>0.01</v>
      </c>
      <c r="AB85" s="160">
        <f t="shared" si="189"/>
        <v>0</v>
      </c>
      <c r="AC85" s="158">
        <f t="shared" si="190"/>
        <v>0</v>
      </c>
      <c r="AD85" s="158">
        <f t="shared" si="191"/>
        <v>0.15</v>
      </c>
      <c r="AE85" s="158">
        <f t="shared" si="192"/>
        <v>0.28000000000000003</v>
      </c>
      <c r="AF85" s="158">
        <f t="shared" si="193"/>
        <v>7.0000000000000007E-2</v>
      </c>
      <c r="AG85" s="158">
        <f t="shared" si="194"/>
        <v>0.23</v>
      </c>
      <c r="AH85" s="158">
        <f t="shared" si="195"/>
        <v>7.0000000000000007E-2</v>
      </c>
      <c r="AI85" s="158">
        <f t="shared" si="196"/>
        <v>0</v>
      </c>
      <c r="AJ85" s="158">
        <f t="shared" si="197"/>
        <v>0</v>
      </c>
      <c r="AK85" s="160">
        <f t="shared" si="198"/>
        <v>0.01</v>
      </c>
      <c r="AL85" s="158">
        <f t="shared" si="199"/>
        <v>0.01</v>
      </c>
      <c r="AM85" s="158">
        <f t="shared" si="200"/>
        <v>0.01</v>
      </c>
      <c r="AN85" s="158">
        <f t="shared" si="201"/>
        <v>0.05</v>
      </c>
      <c r="AO85" s="158">
        <f t="shared" si="202"/>
        <v>0</v>
      </c>
      <c r="AP85" s="158">
        <f t="shared" si="202"/>
        <v>0.01</v>
      </c>
      <c r="AQ85" s="158">
        <f t="shared" si="203"/>
        <v>0</v>
      </c>
      <c r="AR85" s="158">
        <f t="shared" si="204"/>
        <v>0.66</v>
      </c>
      <c r="AS85" s="159">
        <f t="shared" si="205"/>
        <v>0</v>
      </c>
      <c r="AT85" s="162">
        <v>0</v>
      </c>
      <c r="AU85" s="162">
        <v>0</v>
      </c>
      <c r="AV85" s="162">
        <v>0.02</v>
      </c>
      <c r="AW85" s="162">
        <v>0.01</v>
      </c>
      <c r="AX85" s="162">
        <v>0.17</v>
      </c>
      <c r="AY85" s="158">
        <v>0.09</v>
      </c>
      <c r="AZ85" s="158">
        <v>0</v>
      </c>
      <c r="BA85" s="158">
        <v>0.09</v>
      </c>
      <c r="BB85" s="158">
        <v>0.11</v>
      </c>
      <c r="BC85" s="158">
        <v>0</v>
      </c>
      <c r="BD85" s="158">
        <v>7.0000000000000007E-2</v>
      </c>
      <c r="BE85" s="158">
        <v>0</v>
      </c>
      <c r="BF85" s="160">
        <v>0.01</v>
      </c>
      <c r="BG85" s="158">
        <v>0</v>
      </c>
      <c r="BH85" s="158">
        <v>0</v>
      </c>
      <c r="BI85" s="158">
        <v>7.0000000000000007E-2</v>
      </c>
      <c r="BJ85" s="158">
        <v>0.14000000000000001</v>
      </c>
      <c r="BK85" s="158">
        <v>0</v>
      </c>
      <c r="BL85" s="158">
        <v>0</v>
      </c>
      <c r="BM85" s="158">
        <v>0.02</v>
      </c>
      <c r="BN85" s="158">
        <v>0.08</v>
      </c>
      <c r="BO85" s="158">
        <v>0</v>
      </c>
      <c r="BP85" s="158">
        <v>0</v>
      </c>
      <c r="BQ85" s="158">
        <v>0.01</v>
      </c>
      <c r="BR85" s="160">
        <v>0</v>
      </c>
      <c r="BS85" s="158">
        <v>0</v>
      </c>
      <c r="BT85" s="158">
        <v>0.28000000000000003</v>
      </c>
      <c r="BU85" s="158">
        <v>0.15</v>
      </c>
      <c r="BV85" s="158">
        <v>0.23</v>
      </c>
      <c r="BW85" s="158">
        <v>0</v>
      </c>
      <c r="BX85" s="158">
        <v>0</v>
      </c>
      <c r="BY85" s="158">
        <v>0</v>
      </c>
      <c r="BZ85" s="158">
        <v>7.0000000000000007E-2</v>
      </c>
      <c r="CA85" s="158">
        <v>7.0000000000000007E-2</v>
      </c>
      <c r="CB85" s="160">
        <v>0.01</v>
      </c>
      <c r="CC85" s="158">
        <v>0</v>
      </c>
      <c r="CD85" s="158">
        <v>0.01</v>
      </c>
      <c r="CE85" s="158">
        <v>0.01</v>
      </c>
      <c r="CF85" s="158">
        <v>0</v>
      </c>
      <c r="CG85" s="158">
        <v>0</v>
      </c>
      <c r="CH85" s="158">
        <v>0.01</v>
      </c>
      <c r="CI85" s="158">
        <v>0.66</v>
      </c>
      <c r="CJ85" s="158">
        <v>0.05</v>
      </c>
      <c r="CK85" s="159">
        <v>0</v>
      </c>
      <c r="CL85" s="161">
        <v>7.0000000000000007E-2</v>
      </c>
    </row>
    <row r="86" spans="1:90">
      <c r="A86" s="93">
        <f>ROWS($A$3:A84)</f>
        <v>82</v>
      </c>
      <c r="B86" s="67" t="s">
        <v>202</v>
      </c>
      <c r="C86" s="242">
        <v>2007</v>
      </c>
      <c r="D86" s="314"/>
      <c r="E86" s="333"/>
      <c r="F86" s="156"/>
      <c r="G86" s="177"/>
      <c r="H86" s="177"/>
      <c r="I86" s="178"/>
      <c r="J86" s="181"/>
      <c r="K86" s="156"/>
      <c r="L86" s="177"/>
      <c r="M86" s="177"/>
      <c r="N86" s="177"/>
      <c r="O86" s="177"/>
      <c r="P86" s="177"/>
      <c r="Q86" s="177"/>
      <c r="R86" s="181"/>
      <c r="S86" s="177"/>
      <c r="T86" s="177"/>
      <c r="U86" s="179"/>
      <c r="V86" s="177"/>
      <c r="W86" s="177"/>
      <c r="X86" s="177"/>
      <c r="Y86" s="177"/>
      <c r="Z86" s="177"/>
      <c r="AA86" s="177"/>
      <c r="AB86" s="179"/>
      <c r="AC86" s="177"/>
      <c r="AD86" s="177"/>
      <c r="AE86" s="177"/>
      <c r="AF86" s="177"/>
      <c r="AG86" s="177"/>
      <c r="AH86" s="177"/>
      <c r="AI86" s="177"/>
      <c r="AJ86" s="177"/>
      <c r="AK86" s="179"/>
      <c r="AL86" s="177"/>
      <c r="AM86" s="177"/>
      <c r="AN86" s="177"/>
      <c r="AO86" s="177"/>
      <c r="AP86" s="177"/>
      <c r="AQ86" s="177"/>
      <c r="AR86" s="177"/>
      <c r="AS86" s="178"/>
      <c r="AT86" s="181"/>
      <c r="AU86" s="177"/>
      <c r="AV86" s="177"/>
      <c r="AW86" s="177"/>
      <c r="AX86" s="177"/>
      <c r="AY86" s="177"/>
      <c r="AZ86" s="177"/>
      <c r="BA86" s="177"/>
      <c r="BB86" s="177"/>
      <c r="BC86" s="177"/>
      <c r="BD86" s="177"/>
      <c r="BE86" s="177"/>
      <c r="BF86" s="179"/>
      <c r="BG86" s="177"/>
      <c r="BH86" s="177"/>
      <c r="BI86" s="177"/>
      <c r="BJ86" s="177"/>
      <c r="BK86" s="177"/>
      <c r="BL86" s="177"/>
      <c r="BM86" s="177"/>
      <c r="BN86" s="177"/>
      <c r="BO86" s="177"/>
      <c r="BP86" s="177"/>
      <c r="BQ86" s="177"/>
      <c r="BR86" s="179"/>
      <c r="BS86" s="177"/>
      <c r="BT86" s="177"/>
      <c r="BU86" s="177"/>
      <c r="BV86" s="177"/>
      <c r="BW86" s="177"/>
      <c r="BX86" s="177"/>
      <c r="BY86" s="177"/>
      <c r="BZ86" s="177"/>
      <c r="CA86" s="177"/>
      <c r="CB86" s="179"/>
      <c r="CC86" s="177"/>
      <c r="CD86" s="177"/>
      <c r="CE86" s="177"/>
      <c r="CF86" s="177"/>
      <c r="CG86" s="177"/>
      <c r="CH86" s="177"/>
      <c r="CI86" s="177"/>
      <c r="CJ86" s="177"/>
      <c r="CK86" s="178"/>
      <c r="CL86" s="180"/>
    </row>
    <row r="87" spans="1:90">
      <c r="A87" s="93">
        <f>ROWS($A$3:A85)</f>
        <v>83</v>
      </c>
      <c r="B87" s="62" t="s">
        <v>200</v>
      </c>
      <c r="C87" s="330"/>
      <c r="D87" s="314" t="s">
        <v>201</v>
      </c>
      <c r="E87" s="316">
        <v>40694</v>
      </c>
      <c r="F87" s="191">
        <v>20664</v>
      </c>
      <c r="G87" s="191">
        <v>21956</v>
      </c>
      <c r="H87" s="191">
        <v>15588</v>
      </c>
      <c r="I87" s="192">
        <v>15862</v>
      </c>
      <c r="J87" s="347"/>
      <c r="K87" s="156">
        <f>BF87</f>
        <v>16557</v>
      </c>
      <c r="L87" s="177">
        <f>AY87</f>
        <v>25353</v>
      </c>
      <c r="M87" s="177">
        <f>BD87</f>
        <v>10205</v>
      </c>
      <c r="N87" s="177">
        <f>AW87</f>
        <v>16831</v>
      </c>
      <c r="O87" s="177">
        <f>BE87</f>
        <v>16903</v>
      </c>
      <c r="P87" s="183">
        <f>(AZ101*AZ87+BA101*BA87)/(AZ101+BA101)</f>
        <v>26647.802575107296</v>
      </c>
      <c r="Q87" s="177">
        <f>'2008'!AU87</f>
        <v>31866</v>
      </c>
      <c r="R87" s="183">
        <f>(AT101*AT87+AX101*AX87)/(AT101+AX101)</f>
        <v>39260.194690265489</v>
      </c>
      <c r="S87" s="177">
        <f>AV87</f>
        <v>24730</v>
      </c>
      <c r="T87" s="177">
        <f>BB87</f>
        <v>19093</v>
      </c>
      <c r="U87" s="179">
        <f>BC87</f>
        <v>17299</v>
      </c>
      <c r="V87" s="183">
        <f>(BG101*BG87+BJ101*BJ87)/(BG101+BJ101)</f>
        <v>20347.333333333332</v>
      </c>
      <c r="W87" s="177">
        <f>BR87</f>
        <v>11511</v>
      </c>
      <c r="X87" s="183">
        <f>(BH101*BH87+BI101*BI87)/(BH101+BI101)</f>
        <v>33056.043103448275</v>
      </c>
      <c r="Y87" s="183">
        <f>(BK101*BK87+BL101*BL87+BN101*BN87)/(BK101+BL101+BN101)</f>
        <v>42032.74698795181</v>
      </c>
      <c r="Z87" s="177">
        <f>BM87</f>
        <v>9403</v>
      </c>
      <c r="AA87" s="183">
        <f>(BO101*BO87+BQ101*BQ87)/(BO101+BQ101)</f>
        <v>24789.4375</v>
      </c>
      <c r="AB87" s="179">
        <f>BP87</f>
        <v>14131</v>
      </c>
      <c r="AC87" s="177">
        <f>BX87</f>
        <v>10647</v>
      </c>
      <c r="AD87" s="177">
        <f>BU87</f>
        <v>21366</v>
      </c>
      <c r="AE87" s="183">
        <f>(BS101*BS87+BT101*BT87)/(BS101+BT101)</f>
        <v>21726.625</v>
      </c>
      <c r="AF87" s="177">
        <f>CA87</f>
        <v>16037</v>
      </c>
      <c r="AG87" s="177">
        <f>BV87</f>
        <v>21317</v>
      </c>
      <c r="AH87" s="177">
        <f>BZ87</f>
        <v>14199</v>
      </c>
      <c r="AI87" s="177">
        <f>BW87</f>
        <v>11344</v>
      </c>
      <c r="AJ87" s="177">
        <f>BY87</f>
        <v>8988</v>
      </c>
      <c r="AK87" s="179">
        <f>CB87</f>
        <v>10088</v>
      </c>
      <c r="AL87" s="177">
        <f>CE87</f>
        <v>9649</v>
      </c>
      <c r="AM87" s="177">
        <f>CH87</f>
        <v>16589</v>
      </c>
      <c r="AN87" s="177">
        <f>CJ87</f>
        <v>13452</v>
      </c>
      <c r="AO87" s="177">
        <f>CC87</f>
        <v>15002</v>
      </c>
      <c r="AP87" s="177">
        <f>CD87</f>
        <v>20500</v>
      </c>
      <c r="AQ87" s="177">
        <f>CK87</f>
        <v>10549</v>
      </c>
      <c r="AR87" s="177">
        <f>CI87</f>
        <v>21107</v>
      </c>
      <c r="AS87" s="184">
        <f>(CF101*CF87+CG101*CG87)/(CF101+CG101)</f>
        <v>23485.127659574468</v>
      </c>
      <c r="AT87" s="181">
        <v>115519</v>
      </c>
      <c r="AU87" s="191">
        <v>32848</v>
      </c>
      <c r="AV87" s="191">
        <v>24730</v>
      </c>
      <c r="AW87" s="191">
        <v>16831</v>
      </c>
      <c r="AX87" s="191">
        <v>34984</v>
      </c>
      <c r="AY87" s="191">
        <v>25353</v>
      </c>
      <c r="AZ87" s="191">
        <v>25881</v>
      </c>
      <c r="BA87" s="191">
        <v>26712</v>
      </c>
      <c r="BB87" s="191">
        <v>19093</v>
      </c>
      <c r="BC87" s="191">
        <v>17299</v>
      </c>
      <c r="BD87" s="191">
        <v>10205</v>
      </c>
      <c r="BE87" s="191">
        <v>16903</v>
      </c>
      <c r="BF87" s="193">
        <v>16557</v>
      </c>
      <c r="BG87" s="191">
        <v>28564</v>
      </c>
      <c r="BH87" s="191">
        <v>53814</v>
      </c>
      <c r="BI87" s="191">
        <v>32121</v>
      </c>
      <c r="BJ87" s="191">
        <v>19864</v>
      </c>
      <c r="BK87" s="191">
        <v>123922</v>
      </c>
      <c r="BL87" s="191">
        <v>49674</v>
      </c>
      <c r="BM87" s="191">
        <v>9403</v>
      </c>
      <c r="BN87" s="191">
        <v>40706</v>
      </c>
      <c r="BO87" s="191">
        <v>54306</v>
      </c>
      <c r="BP87" s="191">
        <v>14131</v>
      </c>
      <c r="BQ87" s="191">
        <v>21736</v>
      </c>
      <c r="BR87" s="193">
        <v>11511</v>
      </c>
      <c r="BS87" s="191">
        <v>33609</v>
      </c>
      <c r="BT87" s="191">
        <v>21210</v>
      </c>
      <c r="BU87" s="191">
        <v>21366</v>
      </c>
      <c r="BV87" s="191">
        <v>21317</v>
      </c>
      <c r="BW87" s="191">
        <v>11344</v>
      </c>
      <c r="BX87" s="191">
        <v>10647</v>
      </c>
      <c r="BY87" s="191">
        <v>8988</v>
      </c>
      <c r="BZ87" s="191">
        <v>14199</v>
      </c>
      <c r="CA87" s="191">
        <v>16037</v>
      </c>
      <c r="CB87" s="193">
        <v>10088</v>
      </c>
      <c r="CC87" s="191">
        <v>15002</v>
      </c>
      <c r="CD87" s="191">
        <v>20500</v>
      </c>
      <c r="CE87" s="191">
        <v>9649</v>
      </c>
      <c r="CF87" s="191">
        <v>52063</v>
      </c>
      <c r="CG87" s="191">
        <v>23281</v>
      </c>
      <c r="CH87" s="191">
        <v>16589</v>
      </c>
      <c r="CI87" s="191">
        <v>21107</v>
      </c>
      <c r="CJ87" s="191">
        <v>13452</v>
      </c>
      <c r="CK87" s="191">
        <v>10549</v>
      </c>
      <c r="CL87" s="180">
        <v>18305</v>
      </c>
    </row>
    <row r="88" spans="1:90">
      <c r="A88" s="93">
        <f>ROWS($A$3:A86)</f>
        <v>84</v>
      </c>
      <c r="B88" s="67" t="s">
        <v>203</v>
      </c>
      <c r="C88" s="242">
        <v>2007</v>
      </c>
      <c r="D88" s="314"/>
      <c r="E88" s="334"/>
      <c r="F88" s="156"/>
      <c r="G88" s="177"/>
      <c r="H88" s="177"/>
      <c r="I88" s="178"/>
      <c r="J88" s="181"/>
      <c r="K88" s="156"/>
      <c r="L88" s="177"/>
      <c r="M88" s="177"/>
      <c r="N88" s="177"/>
      <c r="O88" s="177"/>
      <c r="P88" s="177"/>
      <c r="Q88" s="177"/>
      <c r="R88" s="177"/>
      <c r="S88" s="177"/>
      <c r="T88" s="177"/>
      <c r="U88" s="179"/>
      <c r="V88" s="177"/>
      <c r="W88" s="177"/>
      <c r="X88" s="177"/>
      <c r="Y88" s="177"/>
      <c r="Z88" s="177"/>
      <c r="AA88" s="177"/>
      <c r="AB88" s="179"/>
      <c r="AC88" s="177"/>
      <c r="AD88" s="177"/>
      <c r="AE88" s="177"/>
      <c r="AF88" s="177"/>
      <c r="AG88" s="177"/>
      <c r="AH88" s="177"/>
      <c r="AI88" s="177"/>
      <c r="AJ88" s="177"/>
      <c r="AK88" s="179"/>
      <c r="AL88" s="177"/>
      <c r="AM88" s="177"/>
      <c r="AN88" s="177"/>
      <c r="AO88" s="177"/>
      <c r="AP88" s="177"/>
      <c r="AQ88" s="177"/>
      <c r="AR88" s="177"/>
      <c r="AS88" s="178"/>
      <c r="AT88" s="177"/>
      <c r="AU88" s="177"/>
      <c r="AV88" s="177"/>
      <c r="AW88" s="177"/>
      <c r="AX88" s="177"/>
      <c r="AY88" s="177"/>
      <c r="AZ88" s="177"/>
      <c r="BA88" s="177"/>
      <c r="BB88" s="177"/>
      <c r="BC88" s="177"/>
      <c r="BD88" s="177"/>
      <c r="BE88" s="177"/>
      <c r="BF88" s="179"/>
      <c r="BG88" s="177"/>
      <c r="BH88" s="177"/>
      <c r="BI88" s="177"/>
      <c r="BJ88" s="177"/>
      <c r="BK88" s="177"/>
      <c r="BL88" s="177"/>
      <c r="BM88" s="177"/>
      <c r="BN88" s="177"/>
      <c r="BO88" s="177"/>
      <c r="BP88" s="177"/>
      <c r="BQ88" s="177"/>
      <c r="BR88" s="179"/>
      <c r="BS88" s="177"/>
      <c r="BT88" s="177"/>
      <c r="BU88" s="177"/>
      <c r="BV88" s="177"/>
      <c r="BW88" s="177"/>
      <c r="BX88" s="177"/>
      <c r="BY88" s="177"/>
      <c r="BZ88" s="177"/>
      <c r="CA88" s="177"/>
      <c r="CB88" s="179"/>
      <c r="CC88" s="177"/>
      <c r="CD88" s="177"/>
      <c r="CE88" s="177"/>
      <c r="CF88" s="177"/>
      <c r="CG88" s="177"/>
      <c r="CH88" s="177"/>
      <c r="CI88" s="177"/>
      <c r="CJ88" s="177"/>
      <c r="CK88" s="178"/>
      <c r="CL88" s="180"/>
    </row>
    <row r="89" spans="1:90">
      <c r="A89" s="93">
        <f>ROWS($A$3:A87)</f>
        <v>85</v>
      </c>
      <c r="B89" s="106" t="s">
        <v>204</v>
      </c>
      <c r="C89" s="245"/>
      <c r="D89" s="314" t="s">
        <v>205</v>
      </c>
      <c r="E89" s="316">
        <v>40695</v>
      </c>
      <c r="F89" s="207">
        <f>12338902/197920</f>
        <v>62.342875909458364</v>
      </c>
      <c r="G89" s="208">
        <f>4382531/78746</f>
        <v>55.654014172148429</v>
      </c>
      <c r="H89" s="208">
        <f>3667056/61906</f>
        <v>59.235873744063582</v>
      </c>
      <c r="I89" s="209">
        <f>9109239/137574</f>
        <v>66.213376073967467</v>
      </c>
      <c r="J89" s="213"/>
      <c r="K89" s="210">
        <f>BF89</f>
        <v>59.1</v>
      </c>
      <c r="L89" s="211">
        <f>AY89</f>
        <v>56.3</v>
      </c>
      <c r="M89" s="211">
        <f>BD89</f>
        <v>58.1</v>
      </c>
      <c r="N89" s="211">
        <f>AW89</f>
        <v>61.1</v>
      </c>
      <c r="O89" s="211">
        <f>BE89</f>
        <v>67</v>
      </c>
      <c r="P89" s="211">
        <f>'2007'!BA89</f>
        <v>61.5</v>
      </c>
      <c r="Q89" s="211">
        <f>'2007'!AU89</f>
        <v>66.599999999999994</v>
      </c>
      <c r="R89" s="211">
        <f>AX89</f>
        <v>63.3</v>
      </c>
      <c r="S89" s="211">
        <f>AV89</f>
        <v>60.1</v>
      </c>
      <c r="T89" s="211">
        <f t="shared" ref="T89:U93" si="207">BB89</f>
        <v>64.5</v>
      </c>
      <c r="U89" s="212">
        <f t="shared" si="207"/>
        <v>66.900000000000006</v>
      </c>
      <c r="V89" s="211">
        <f>BJ89</f>
        <v>49.2</v>
      </c>
      <c r="W89" s="211">
        <f>BR89</f>
        <v>58.7</v>
      </c>
      <c r="X89" s="211">
        <f>BI89</f>
        <v>52.8</v>
      </c>
      <c r="Y89" s="211">
        <f>BN89</f>
        <v>56.7</v>
      </c>
      <c r="Z89" s="211">
        <f>BM89</f>
        <v>57.1</v>
      </c>
      <c r="AA89" s="211">
        <f>BQ89</f>
        <v>56.4</v>
      </c>
      <c r="AB89" s="212">
        <f>BP89</f>
        <v>56.4</v>
      </c>
      <c r="AC89" s="211">
        <f>BX89</f>
        <v>67.099999999999994</v>
      </c>
      <c r="AD89" s="211">
        <f>BU89</f>
        <v>44.6</v>
      </c>
      <c r="AE89" s="211">
        <f>BT89</f>
        <v>53.6</v>
      </c>
      <c r="AF89" s="211">
        <f>CA89</f>
        <v>52.7</v>
      </c>
      <c r="AG89" s="211">
        <f>BV89</f>
        <v>54.5</v>
      </c>
      <c r="AH89" s="211">
        <f>BZ89</f>
        <v>63.5</v>
      </c>
      <c r="AI89" s="211">
        <f>BW89</f>
        <v>62.3</v>
      </c>
      <c r="AJ89" s="211">
        <f>BY89</f>
        <v>55.8</v>
      </c>
      <c r="AK89" s="212">
        <f>CB89</f>
        <v>57</v>
      </c>
      <c r="AL89" s="211">
        <f>CE89</f>
        <v>54.8</v>
      </c>
      <c r="AM89" s="211">
        <f>CH89</f>
        <v>69.7</v>
      </c>
      <c r="AN89" s="211">
        <f>CJ89</f>
        <v>68.7</v>
      </c>
      <c r="AO89" s="211">
        <f t="shared" ref="AO89:AP93" si="208">CC89</f>
        <v>55</v>
      </c>
      <c r="AP89" s="211">
        <f t="shared" si="208"/>
        <v>57.5</v>
      </c>
      <c r="AQ89" s="211">
        <f>CK89</f>
        <v>67.7</v>
      </c>
      <c r="AR89" s="211">
        <f>CI89</f>
        <v>67.5</v>
      </c>
      <c r="AS89" s="214">
        <f>CG89</f>
        <v>69.7</v>
      </c>
      <c r="AT89" s="213">
        <v>0</v>
      </c>
      <c r="AU89" s="213">
        <v>66.599999999999994</v>
      </c>
      <c r="AV89" s="213">
        <v>60.1</v>
      </c>
      <c r="AW89" s="213">
        <v>61.1</v>
      </c>
      <c r="AX89" s="213">
        <v>63.3</v>
      </c>
      <c r="AY89" s="213">
        <v>56.3</v>
      </c>
      <c r="AZ89" s="211">
        <v>0</v>
      </c>
      <c r="BA89" s="213">
        <v>61.5</v>
      </c>
      <c r="BB89" s="213">
        <v>64.5</v>
      </c>
      <c r="BC89" s="213">
        <v>66.900000000000006</v>
      </c>
      <c r="BD89" s="213">
        <v>58.1</v>
      </c>
      <c r="BE89" s="213">
        <v>67</v>
      </c>
      <c r="BF89" s="212">
        <v>59.1</v>
      </c>
      <c r="BG89" s="213">
        <v>0</v>
      </c>
      <c r="BH89" s="211">
        <v>0</v>
      </c>
      <c r="BI89" s="213">
        <v>52.8</v>
      </c>
      <c r="BJ89" s="213">
        <v>49.2</v>
      </c>
      <c r="BK89" s="211">
        <v>0</v>
      </c>
      <c r="BL89" s="213">
        <v>0</v>
      </c>
      <c r="BM89" s="213">
        <v>57.1</v>
      </c>
      <c r="BN89" s="213">
        <v>56.7</v>
      </c>
      <c r="BO89" s="213">
        <v>0</v>
      </c>
      <c r="BP89" s="213">
        <v>56.4</v>
      </c>
      <c r="BQ89" s="213">
        <v>56.4</v>
      </c>
      <c r="BR89" s="212">
        <v>58.7</v>
      </c>
      <c r="BS89" s="213">
        <v>0</v>
      </c>
      <c r="BT89" s="213">
        <v>53.6</v>
      </c>
      <c r="BU89" s="213">
        <v>44.6</v>
      </c>
      <c r="BV89" s="213">
        <v>54.5</v>
      </c>
      <c r="BW89" s="213">
        <v>62.3</v>
      </c>
      <c r="BX89" s="213">
        <v>67.099999999999994</v>
      </c>
      <c r="BY89" s="213">
        <v>55.8</v>
      </c>
      <c r="BZ89" s="213">
        <v>63.5</v>
      </c>
      <c r="CA89" s="213">
        <v>52.7</v>
      </c>
      <c r="CB89" s="212">
        <v>57</v>
      </c>
      <c r="CC89" s="213">
        <v>55</v>
      </c>
      <c r="CD89" s="213">
        <v>57.5</v>
      </c>
      <c r="CE89" s="213">
        <v>54.8</v>
      </c>
      <c r="CF89" s="213">
        <v>0</v>
      </c>
      <c r="CG89" s="213">
        <v>69.7</v>
      </c>
      <c r="CH89" s="213">
        <v>69.7</v>
      </c>
      <c r="CI89" s="213">
        <v>67.5</v>
      </c>
      <c r="CJ89" s="213">
        <v>68.7</v>
      </c>
      <c r="CK89" s="214">
        <v>67.7</v>
      </c>
      <c r="CL89" s="215">
        <v>62</v>
      </c>
    </row>
    <row r="90" spans="1:90">
      <c r="A90" s="93">
        <f>ROWS($A$3:A88)</f>
        <v>86</v>
      </c>
      <c r="B90" s="106" t="s">
        <v>206</v>
      </c>
      <c r="C90" s="243"/>
      <c r="D90" s="314" t="s">
        <v>205</v>
      </c>
      <c r="E90" s="316">
        <v>40695</v>
      </c>
      <c r="F90" s="207">
        <f>8798557/13410</f>
        <v>656.11909023117073</v>
      </c>
      <c r="G90" s="208">
        <f>2363285/3928</f>
        <v>601.650967413442</v>
      </c>
      <c r="H90" s="208">
        <f>166222/266</f>
        <v>624.89473684210532</v>
      </c>
      <c r="I90" s="209">
        <f>548233/831</f>
        <v>659.72683513838751</v>
      </c>
      <c r="J90" s="213"/>
      <c r="K90" s="210">
        <f>BF90</f>
        <v>673.8</v>
      </c>
      <c r="L90" s="211">
        <f>AY90</f>
        <v>651.79999999999995</v>
      </c>
      <c r="M90" s="211">
        <f>BD90</f>
        <v>651</v>
      </c>
      <c r="N90" s="211">
        <f>AW90</f>
        <v>0</v>
      </c>
      <c r="O90" s="211">
        <f>BE90</f>
        <v>696.3</v>
      </c>
      <c r="P90" s="211">
        <f>'2007'!BA90</f>
        <v>657.7</v>
      </c>
      <c r="Q90" s="211">
        <f>'2007'!AU90</f>
        <v>625.6</v>
      </c>
      <c r="R90" s="211">
        <f>AX90</f>
        <v>661.9</v>
      </c>
      <c r="S90" s="211">
        <f>AV90</f>
        <v>0</v>
      </c>
      <c r="T90" s="211">
        <f t="shared" si="207"/>
        <v>664.1</v>
      </c>
      <c r="U90" s="212">
        <f t="shared" si="207"/>
        <v>623.1</v>
      </c>
      <c r="V90" s="211">
        <f>BJ90</f>
        <v>0</v>
      </c>
      <c r="W90" s="211">
        <f>BR90</f>
        <v>0</v>
      </c>
      <c r="X90" s="211">
        <f>BI90</f>
        <v>596.70000000000005</v>
      </c>
      <c r="Y90" s="211">
        <f>BN90</f>
        <v>599</v>
      </c>
      <c r="Z90" s="211">
        <f>BM90</f>
        <v>624.4</v>
      </c>
      <c r="AA90" s="211">
        <f>BQ90</f>
        <v>0</v>
      </c>
      <c r="AB90" s="212">
        <f>BP90</f>
        <v>0</v>
      </c>
      <c r="AC90" s="211">
        <f>BX90</f>
        <v>0</v>
      </c>
      <c r="AD90" s="211">
        <f>BU90</f>
        <v>0</v>
      </c>
      <c r="AE90" s="211">
        <f>BT90</f>
        <v>654.79999999999995</v>
      </c>
      <c r="AF90" s="211">
        <f>CA90</f>
        <v>0</v>
      </c>
      <c r="AG90" s="211">
        <f>BV90</f>
        <v>0</v>
      </c>
      <c r="AH90" s="211">
        <f>BZ90</f>
        <v>0</v>
      </c>
      <c r="AI90" s="211">
        <f>BW90</f>
        <v>0</v>
      </c>
      <c r="AJ90" s="211">
        <f>BY90</f>
        <v>0</v>
      </c>
      <c r="AK90" s="212">
        <f>CB90</f>
        <v>0</v>
      </c>
      <c r="AL90" s="211">
        <f>CE90</f>
        <v>0</v>
      </c>
      <c r="AM90" s="211">
        <f>CH90</f>
        <v>680.3</v>
      </c>
      <c r="AN90" s="211">
        <f>CJ90</f>
        <v>0</v>
      </c>
      <c r="AO90" s="211">
        <f t="shared" si="208"/>
        <v>0</v>
      </c>
      <c r="AP90" s="211">
        <f t="shared" si="208"/>
        <v>0</v>
      </c>
      <c r="AQ90" s="211">
        <f>CK90</f>
        <v>0</v>
      </c>
      <c r="AR90" s="211">
        <f>CI90</f>
        <v>651.20000000000005</v>
      </c>
      <c r="AS90" s="214">
        <f>CG90</f>
        <v>649.4</v>
      </c>
      <c r="AT90" s="213">
        <v>0</v>
      </c>
      <c r="AU90" s="213">
        <v>625.6</v>
      </c>
      <c r="AV90" s="213">
        <v>0</v>
      </c>
      <c r="AW90" s="213">
        <v>0</v>
      </c>
      <c r="AX90" s="213">
        <v>661.9</v>
      </c>
      <c r="AY90" s="213">
        <v>651.79999999999995</v>
      </c>
      <c r="AZ90" s="211">
        <v>0</v>
      </c>
      <c r="BA90" s="213">
        <v>657.7</v>
      </c>
      <c r="BB90" s="213">
        <v>664.1</v>
      </c>
      <c r="BC90" s="213">
        <v>623.1</v>
      </c>
      <c r="BD90" s="213">
        <v>651</v>
      </c>
      <c r="BE90" s="211">
        <v>696.3</v>
      </c>
      <c r="BF90" s="212">
        <v>673.8</v>
      </c>
      <c r="BG90" s="213">
        <v>0</v>
      </c>
      <c r="BH90" s="211">
        <v>0</v>
      </c>
      <c r="BI90" s="213">
        <v>596.70000000000005</v>
      </c>
      <c r="BJ90" s="213">
        <v>0</v>
      </c>
      <c r="BK90" s="211">
        <v>0</v>
      </c>
      <c r="BL90" s="213">
        <v>0</v>
      </c>
      <c r="BM90" s="213">
        <v>624.4</v>
      </c>
      <c r="BN90" s="213">
        <v>599</v>
      </c>
      <c r="BO90" s="213">
        <v>0</v>
      </c>
      <c r="BP90" s="211">
        <v>0</v>
      </c>
      <c r="BQ90" s="211">
        <v>0</v>
      </c>
      <c r="BR90" s="212">
        <v>0</v>
      </c>
      <c r="BS90" s="213">
        <v>0</v>
      </c>
      <c r="BT90" s="213">
        <v>654.79999999999995</v>
      </c>
      <c r="BU90" s="213">
        <v>0</v>
      </c>
      <c r="BV90" s="213">
        <v>0</v>
      </c>
      <c r="BW90" s="213">
        <v>0</v>
      </c>
      <c r="BX90" s="213">
        <v>0</v>
      </c>
      <c r="BY90" s="213">
        <v>0</v>
      </c>
      <c r="BZ90" s="213">
        <v>0</v>
      </c>
      <c r="CA90" s="213">
        <v>0</v>
      </c>
      <c r="CB90" s="212">
        <v>0</v>
      </c>
      <c r="CC90" s="213">
        <v>0</v>
      </c>
      <c r="CD90" s="213">
        <v>0</v>
      </c>
      <c r="CE90" s="213">
        <v>0</v>
      </c>
      <c r="CF90" s="213">
        <v>0</v>
      </c>
      <c r="CG90" s="213">
        <v>649.4</v>
      </c>
      <c r="CH90" s="213">
        <v>680.3</v>
      </c>
      <c r="CI90" s="211">
        <v>651.20000000000005</v>
      </c>
      <c r="CJ90" s="213">
        <v>0</v>
      </c>
      <c r="CK90" s="214">
        <v>0</v>
      </c>
      <c r="CL90" s="229">
        <v>644.20000000000005</v>
      </c>
    </row>
    <row r="91" spans="1:90">
      <c r="A91" s="93">
        <f>ROWS($A$3:A89)</f>
        <v>87</v>
      </c>
      <c r="B91" s="106" t="s">
        <v>207</v>
      </c>
      <c r="C91" s="243"/>
      <c r="D91" s="314" t="s">
        <v>205</v>
      </c>
      <c r="E91" s="316">
        <v>40695</v>
      </c>
      <c r="F91" s="207">
        <f>1191162/31596</f>
        <v>37.699772123053549</v>
      </c>
      <c r="G91" s="208">
        <f>426766/11988</f>
        <v>35.599432766099433</v>
      </c>
      <c r="H91" s="208">
        <f>268938/7115</f>
        <v>37.798735066760365</v>
      </c>
      <c r="I91" s="209">
        <f>768324/19853</f>
        <v>38.700649775852519</v>
      </c>
      <c r="J91" s="213"/>
      <c r="K91" s="210">
        <f>BF91</f>
        <v>43.1</v>
      </c>
      <c r="L91" s="211">
        <f>AY91</f>
        <v>40.200000000000003</v>
      </c>
      <c r="M91" s="211">
        <f>BD91</f>
        <v>40.6</v>
      </c>
      <c r="N91" s="211">
        <f>AW91</f>
        <v>46.9</v>
      </c>
      <c r="O91" s="211">
        <f>BE91</f>
        <v>46</v>
      </c>
      <c r="P91" s="211">
        <f>'2007'!BA91</f>
        <v>40.700000000000003</v>
      </c>
      <c r="Q91" s="211">
        <f>'2007'!AU91</f>
        <v>47.5</v>
      </c>
      <c r="R91" s="211">
        <f>AX91</f>
        <v>42.1</v>
      </c>
      <c r="S91" s="211">
        <f>AV91</f>
        <v>42.8</v>
      </c>
      <c r="T91" s="211">
        <f t="shared" si="207"/>
        <v>38.9</v>
      </c>
      <c r="U91" s="212">
        <f t="shared" si="207"/>
        <v>42.9</v>
      </c>
      <c r="V91" s="211">
        <f>BJ91</f>
        <v>0</v>
      </c>
      <c r="W91" s="211">
        <f>BR91</f>
        <v>44.3</v>
      </c>
      <c r="X91" s="211">
        <f>BI91</f>
        <v>39.299999999999997</v>
      </c>
      <c r="Y91" s="211">
        <f>BN91</f>
        <v>37.9</v>
      </c>
      <c r="Z91" s="211">
        <f>BM91</f>
        <v>39.1</v>
      </c>
      <c r="AA91" s="211">
        <f>BQ91</f>
        <v>39.5</v>
      </c>
      <c r="AB91" s="212">
        <f>BP91</f>
        <v>43.1</v>
      </c>
      <c r="AC91" s="211">
        <f>BX91</f>
        <v>43.8</v>
      </c>
      <c r="AD91" s="211">
        <f>BU91</f>
        <v>0</v>
      </c>
      <c r="AE91" s="211">
        <f>BT91</f>
        <v>43.5</v>
      </c>
      <c r="AF91" s="211">
        <f>CA91</f>
        <v>0</v>
      </c>
      <c r="AG91" s="211">
        <f>BV91</f>
        <v>35.299999999999997</v>
      </c>
      <c r="AH91" s="211">
        <f>BZ91</f>
        <v>41.5</v>
      </c>
      <c r="AI91" s="211">
        <f>BW91</f>
        <v>44.3</v>
      </c>
      <c r="AJ91" s="211">
        <f>BY91</f>
        <v>42.2</v>
      </c>
      <c r="AK91" s="212">
        <f>CB91</f>
        <v>39.1</v>
      </c>
      <c r="AL91" s="211">
        <f>CE91</f>
        <v>37.799999999999997</v>
      </c>
      <c r="AM91" s="211">
        <f>CH91</f>
        <v>42.8</v>
      </c>
      <c r="AN91" s="211">
        <f>CJ91</f>
        <v>44.3</v>
      </c>
      <c r="AO91" s="211">
        <f t="shared" si="208"/>
        <v>39.9</v>
      </c>
      <c r="AP91" s="211">
        <f t="shared" si="208"/>
        <v>46.5</v>
      </c>
      <c r="AQ91" s="211">
        <f>CK91</f>
        <v>43.9</v>
      </c>
      <c r="AR91" s="211">
        <f>CI91</f>
        <v>45.6</v>
      </c>
      <c r="AS91" s="214">
        <f>CG91</f>
        <v>43.5</v>
      </c>
      <c r="AT91" s="213">
        <v>0</v>
      </c>
      <c r="AU91" s="213">
        <v>47.5</v>
      </c>
      <c r="AV91" s="213">
        <v>42.8</v>
      </c>
      <c r="AW91" s="213">
        <v>46.9</v>
      </c>
      <c r="AX91" s="211">
        <v>42.1</v>
      </c>
      <c r="AY91" s="213">
        <v>40.200000000000003</v>
      </c>
      <c r="AZ91" s="211">
        <v>0</v>
      </c>
      <c r="BA91" s="213">
        <v>40.700000000000003</v>
      </c>
      <c r="BB91" s="213">
        <v>38.9</v>
      </c>
      <c r="BC91" s="213">
        <v>42.9</v>
      </c>
      <c r="BD91" s="213">
        <v>40.6</v>
      </c>
      <c r="BE91" s="213">
        <v>46</v>
      </c>
      <c r="BF91" s="212">
        <v>43.1</v>
      </c>
      <c r="BG91" s="213">
        <v>0</v>
      </c>
      <c r="BH91" s="211">
        <v>0</v>
      </c>
      <c r="BI91" s="213">
        <v>39.299999999999997</v>
      </c>
      <c r="BJ91" s="213">
        <v>0</v>
      </c>
      <c r="BK91" s="211">
        <v>0</v>
      </c>
      <c r="BL91" s="213">
        <v>0</v>
      </c>
      <c r="BM91" s="211">
        <v>39.1</v>
      </c>
      <c r="BN91" s="211">
        <v>37.9</v>
      </c>
      <c r="BO91" s="213">
        <v>0</v>
      </c>
      <c r="BP91" s="213">
        <v>43.1</v>
      </c>
      <c r="BQ91" s="211">
        <v>39.5</v>
      </c>
      <c r="BR91" s="212">
        <v>44.3</v>
      </c>
      <c r="BS91" s="213">
        <v>0</v>
      </c>
      <c r="BT91" s="213">
        <v>43.5</v>
      </c>
      <c r="BU91" s="211">
        <v>0</v>
      </c>
      <c r="BV91" s="213">
        <v>35.299999999999997</v>
      </c>
      <c r="BW91" s="213">
        <v>44.3</v>
      </c>
      <c r="BX91" s="213">
        <v>43.8</v>
      </c>
      <c r="BY91" s="213">
        <v>42.2</v>
      </c>
      <c r="BZ91" s="213">
        <v>41.5</v>
      </c>
      <c r="CA91" s="211">
        <v>0</v>
      </c>
      <c r="CB91" s="212">
        <v>39.1</v>
      </c>
      <c r="CC91" s="213">
        <v>39.9</v>
      </c>
      <c r="CD91" s="213">
        <v>46.5</v>
      </c>
      <c r="CE91" s="213">
        <v>37.799999999999997</v>
      </c>
      <c r="CF91" s="213">
        <v>0</v>
      </c>
      <c r="CG91" s="213">
        <v>43.5</v>
      </c>
      <c r="CH91" s="213">
        <v>42.8</v>
      </c>
      <c r="CI91" s="213">
        <v>45.6</v>
      </c>
      <c r="CJ91" s="213">
        <v>44.3</v>
      </c>
      <c r="CK91" s="214">
        <v>43.9</v>
      </c>
      <c r="CL91" s="229">
        <v>42.1</v>
      </c>
    </row>
    <row r="92" spans="1:90">
      <c r="A92" s="93">
        <f>ROWS($A$3:A90)</f>
        <v>88</v>
      </c>
      <c r="B92" s="106" t="s">
        <v>208</v>
      </c>
      <c r="C92" s="243"/>
      <c r="D92" s="314" t="s">
        <v>205</v>
      </c>
      <c r="E92" s="316">
        <v>40695</v>
      </c>
      <c r="F92" s="207">
        <f>13560134/27994</f>
        <v>484.39429877830963</v>
      </c>
      <c r="G92" s="208">
        <f>3839425/8489</f>
        <v>452.28236541406528</v>
      </c>
      <c r="H92" s="208">
        <f>7292594/15353</f>
        <v>474.994724158145</v>
      </c>
      <c r="I92" s="209">
        <f>18057003/39220</f>
        <v>460.40293217746046</v>
      </c>
      <c r="J92" s="213"/>
      <c r="K92" s="210">
        <f>BF92</f>
        <v>477.6</v>
      </c>
      <c r="L92" s="211">
        <f>AY92</f>
        <v>455.6</v>
      </c>
      <c r="M92" s="211">
        <f>BD92</f>
        <v>493.4</v>
      </c>
      <c r="N92" s="211">
        <f>AW92</f>
        <v>519.70000000000005</v>
      </c>
      <c r="O92" s="211">
        <f>BE92</f>
        <v>484.3</v>
      </c>
      <c r="P92" s="211">
        <f>'2007'!BA92</f>
        <v>474.5</v>
      </c>
      <c r="Q92" s="211">
        <f>'2007'!AU92</f>
        <v>516.29999999999995</v>
      </c>
      <c r="R92" s="211">
        <f>AX92</f>
        <v>521.70000000000005</v>
      </c>
      <c r="S92" s="211">
        <f>AV92</f>
        <v>497.3</v>
      </c>
      <c r="T92" s="211">
        <f t="shared" si="207"/>
        <v>468.5</v>
      </c>
      <c r="U92" s="212">
        <f t="shared" si="207"/>
        <v>470</v>
      </c>
      <c r="V92" s="211">
        <f>BJ92</f>
        <v>455.6</v>
      </c>
      <c r="W92" s="211">
        <f>BR92</f>
        <v>461.7</v>
      </c>
      <c r="X92" s="211">
        <f>BI92</f>
        <v>470.5</v>
      </c>
      <c r="Y92" s="211">
        <f>BN92</f>
        <v>425.2</v>
      </c>
      <c r="Z92" s="211">
        <f>BM92</f>
        <v>438</v>
      </c>
      <c r="AA92" s="211">
        <f>BQ92</f>
        <v>528.70000000000005</v>
      </c>
      <c r="AB92" s="212">
        <f>BP92</f>
        <v>415.2</v>
      </c>
      <c r="AC92" s="211">
        <f>BX92</f>
        <v>515.20000000000005</v>
      </c>
      <c r="AD92" s="211">
        <f>BU92</f>
        <v>464.6</v>
      </c>
      <c r="AE92" s="211">
        <f>BT92</f>
        <v>470.7</v>
      </c>
      <c r="AF92" s="211">
        <f>CA92</f>
        <v>505.8</v>
      </c>
      <c r="AG92" s="211">
        <f>BV92</f>
        <v>431.2</v>
      </c>
      <c r="AH92" s="211">
        <f>BZ92</f>
        <v>476.9</v>
      </c>
      <c r="AI92" s="211">
        <f>BW92</f>
        <v>462.7</v>
      </c>
      <c r="AJ92" s="211">
        <f>BY92</f>
        <v>482.6</v>
      </c>
      <c r="AK92" s="212">
        <f>CB92</f>
        <v>474.2</v>
      </c>
      <c r="AL92" s="211">
        <f>CE92</f>
        <v>433.7</v>
      </c>
      <c r="AM92" s="211">
        <f>CH92</f>
        <v>495.4</v>
      </c>
      <c r="AN92" s="211">
        <f>CJ92</f>
        <v>425.7</v>
      </c>
      <c r="AO92" s="211">
        <f t="shared" si="208"/>
        <v>321.8</v>
      </c>
      <c r="AP92" s="211">
        <f t="shared" si="208"/>
        <v>444.2</v>
      </c>
      <c r="AQ92" s="211">
        <f>CK92</f>
        <v>499.3</v>
      </c>
      <c r="AR92" s="211">
        <f>CI92</f>
        <v>497.4</v>
      </c>
      <c r="AS92" s="214">
        <f>CG92</f>
        <v>456.9</v>
      </c>
      <c r="AT92" s="213">
        <v>0</v>
      </c>
      <c r="AU92" s="213">
        <v>516.29999999999995</v>
      </c>
      <c r="AV92" s="213">
        <v>497.3</v>
      </c>
      <c r="AW92" s="213">
        <v>519.70000000000005</v>
      </c>
      <c r="AX92" s="213">
        <v>521.70000000000005</v>
      </c>
      <c r="AY92" s="213">
        <v>455.6</v>
      </c>
      <c r="AZ92" s="211">
        <v>0</v>
      </c>
      <c r="BA92" s="213">
        <v>474.5</v>
      </c>
      <c r="BB92" s="213">
        <v>468.5</v>
      </c>
      <c r="BC92" s="213">
        <v>470</v>
      </c>
      <c r="BD92" s="213">
        <v>493.4</v>
      </c>
      <c r="BE92" s="213">
        <v>484.3</v>
      </c>
      <c r="BF92" s="212">
        <v>477.6</v>
      </c>
      <c r="BG92" s="213">
        <v>0</v>
      </c>
      <c r="BH92" s="211">
        <v>0</v>
      </c>
      <c r="BI92" s="213">
        <v>470.5</v>
      </c>
      <c r="BJ92" s="213">
        <v>455.6</v>
      </c>
      <c r="BK92" s="211">
        <v>0</v>
      </c>
      <c r="BL92" s="213">
        <v>0</v>
      </c>
      <c r="BM92" s="213">
        <v>438</v>
      </c>
      <c r="BN92" s="213">
        <v>425.2</v>
      </c>
      <c r="BO92" s="213">
        <v>0</v>
      </c>
      <c r="BP92" s="213">
        <v>415.2</v>
      </c>
      <c r="BQ92" s="213">
        <v>528.70000000000005</v>
      </c>
      <c r="BR92" s="212">
        <v>461.7</v>
      </c>
      <c r="BS92" s="213">
        <v>0</v>
      </c>
      <c r="BT92" s="213">
        <v>470.7</v>
      </c>
      <c r="BU92" s="211">
        <v>464.6</v>
      </c>
      <c r="BV92" s="213">
        <v>431.2</v>
      </c>
      <c r="BW92" s="213">
        <v>462.7</v>
      </c>
      <c r="BX92" s="213">
        <v>515.20000000000005</v>
      </c>
      <c r="BY92" s="213">
        <v>482.6</v>
      </c>
      <c r="BZ92" s="213">
        <v>476.9</v>
      </c>
      <c r="CA92" s="213">
        <v>505.8</v>
      </c>
      <c r="CB92" s="212">
        <v>474.2</v>
      </c>
      <c r="CC92" s="213">
        <v>321.8</v>
      </c>
      <c r="CD92" s="213">
        <v>444.2</v>
      </c>
      <c r="CE92" s="213">
        <v>433.7</v>
      </c>
      <c r="CF92" s="213">
        <v>0</v>
      </c>
      <c r="CG92" s="213">
        <v>456.9</v>
      </c>
      <c r="CH92" s="213">
        <v>495.4</v>
      </c>
      <c r="CI92" s="213">
        <v>497.4</v>
      </c>
      <c r="CJ92" s="213">
        <v>425.7</v>
      </c>
      <c r="CK92" s="214">
        <v>499.3</v>
      </c>
      <c r="CL92" s="229">
        <v>469.5</v>
      </c>
    </row>
    <row r="93" spans="1:90">
      <c r="A93" s="93">
        <f>ROWS($A$3:A91)</f>
        <v>89</v>
      </c>
      <c r="B93" s="237" t="s">
        <v>105</v>
      </c>
      <c r="C93" s="340"/>
      <c r="D93" s="335" t="s">
        <v>4</v>
      </c>
      <c r="E93" s="336"/>
      <c r="F93" s="156">
        <v>60</v>
      </c>
      <c r="G93" s="177">
        <v>37</v>
      </c>
      <c r="H93" s="177">
        <v>69</v>
      </c>
      <c r="I93" s="178">
        <v>54</v>
      </c>
      <c r="J93" s="181"/>
      <c r="K93" s="156">
        <f>BF93</f>
        <v>97</v>
      </c>
      <c r="L93" s="177">
        <f>AY93</f>
        <v>64</v>
      </c>
      <c r="M93" s="177">
        <f>BD93</f>
        <v>66</v>
      </c>
      <c r="N93" s="177">
        <f>AW93</f>
        <v>75</v>
      </c>
      <c r="O93" s="177">
        <f>BE93</f>
        <v>52</v>
      </c>
      <c r="P93" s="183">
        <f>(AZ35*AZ93+BA35*BA93)/P35</f>
        <v>7.432921350219555</v>
      </c>
      <c r="Q93" s="177">
        <f>'2007'!AU93</f>
        <v>51</v>
      </c>
      <c r="R93" s="183">
        <f>(AT35*AT93+AX35*AX93)/R35</f>
        <v>0</v>
      </c>
      <c r="S93" s="177">
        <f>AV93</f>
        <v>59</v>
      </c>
      <c r="T93" s="177">
        <f t="shared" si="207"/>
        <v>51</v>
      </c>
      <c r="U93" s="179">
        <f t="shared" si="207"/>
        <v>93</v>
      </c>
      <c r="V93" s="183">
        <f>(BG35*BG93+BJ35*BJ93)/V35</f>
        <v>17.984657039711191</v>
      </c>
      <c r="W93" s="177">
        <f>BR93</f>
        <v>82</v>
      </c>
      <c r="X93" s="183">
        <f>(BH35*BH93+BI35*BI93)/X35</f>
        <v>3.736710631494804</v>
      </c>
      <c r="Y93" s="183">
        <f>(BK35*BK93+BL35*BL93+BN35*BN93)/Y35</f>
        <v>6.2961604531315292</v>
      </c>
      <c r="Z93" s="177">
        <f>BM93</f>
        <v>65</v>
      </c>
      <c r="AA93" s="183">
        <f>(BO35*BO93+BQ35*BQ93)/AA35</f>
        <v>41.917907484613856</v>
      </c>
      <c r="AB93" s="179">
        <f>BP93</f>
        <v>74</v>
      </c>
      <c r="AC93" s="177">
        <f>BX93</f>
        <v>96</v>
      </c>
      <c r="AD93" s="177">
        <f>BU93</f>
        <v>46</v>
      </c>
      <c r="AE93" s="183">
        <f>(BS35*BS93+BT35*BT93)/AE35</f>
        <v>48.061084445777709</v>
      </c>
      <c r="AF93" s="177">
        <f>CA93</f>
        <v>57</v>
      </c>
      <c r="AG93" s="177">
        <f>BV93</f>
        <v>38</v>
      </c>
      <c r="AH93" s="177">
        <f>BZ93</f>
        <v>59</v>
      </c>
      <c r="AI93" s="177">
        <f>BW93</f>
        <v>100</v>
      </c>
      <c r="AJ93" s="177">
        <f>BY93</f>
        <v>100</v>
      </c>
      <c r="AK93" s="179">
        <f>CB93</f>
        <v>100</v>
      </c>
      <c r="AL93" s="177">
        <f>CE93</f>
        <v>98</v>
      </c>
      <c r="AM93" s="177">
        <f>CH93</f>
        <v>15</v>
      </c>
      <c r="AN93" s="177">
        <f>CJ93</f>
        <v>58</v>
      </c>
      <c r="AO93" s="177">
        <f t="shared" si="208"/>
        <v>98</v>
      </c>
      <c r="AP93" s="177">
        <f t="shared" si="208"/>
        <v>53</v>
      </c>
      <c r="AQ93" s="177">
        <f>CK93</f>
        <v>73</v>
      </c>
      <c r="AR93" s="177">
        <f>CI93</f>
        <v>26</v>
      </c>
      <c r="AS93" s="184">
        <f>(CF35*CF93+CG35*CG93)/AS35</f>
        <v>41.794570598431285</v>
      </c>
      <c r="AT93" s="181">
        <v>0</v>
      </c>
      <c r="AU93" s="181">
        <v>51</v>
      </c>
      <c r="AV93" s="181">
        <v>59</v>
      </c>
      <c r="AW93" s="181">
        <v>75</v>
      </c>
      <c r="AX93" s="177">
        <v>0</v>
      </c>
      <c r="AY93" s="177">
        <v>64</v>
      </c>
      <c r="AZ93" s="177">
        <v>0</v>
      </c>
      <c r="BA93" s="177">
        <v>8</v>
      </c>
      <c r="BB93" s="177">
        <v>51</v>
      </c>
      <c r="BC93" s="177">
        <v>93</v>
      </c>
      <c r="BD93" s="177">
        <v>66</v>
      </c>
      <c r="BE93" s="177">
        <v>52</v>
      </c>
      <c r="BF93" s="179">
        <v>97</v>
      </c>
      <c r="BG93" s="177">
        <v>69</v>
      </c>
      <c r="BH93" s="177">
        <v>0</v>
      </c>
      <c r="BI93" s="177">
        <v>4</v>
      </c>
      <c r="BJ93" s="177">
        <v>12</v>
      </c>
      <c r="BK93" s="177">
        <v>1</v>
      </c>
      <c r="BL93" s="177">
        <v>0</v>
      </c>
      <c r="BM93" s="177">
        <v>65</v>
      </c>
      <c r="BN93" s="177">
        <v>7</v>
      </c>
      <c r="BO93" s="177">
        <v>21</v>
      </c>
      <c r="BP93" s="177">
        <v>74</v>
      </c>
      <c r="BQ93" s="177">
        <v>43</v>
      </c>
      <c r="BR93" s="179">
        <v>82</v>
      </c>
      <c r="BS93" s="177">
        <v>21</v>
      </c>
      <c r="BT93" s="177">
        <v>50</v>
      </c>
      <c r="BU93" s="177">
        <v>46</v>
      </c>
      <c r="BV93" s="177">
        <v>38</v>
      </c>
      <c r="BW93" s="177">
        <v>100</v>
      </c>
      <c r="BX93" s="177">
        <v>96</v>
      </c>
      <c r="BY93" s="177">
        <v>100</v>
      </c>
      <c r="BZ93" s="177">
        <v>59</v>
      </c>
      <c r="CA93" s="177">
        <v>57</v>
      </c>
      <c r="CB93" s="179">
        <v>100</v>
      </c>
      <c r="CC93" s="177">
        <v>98</v>
      </c>
      <c r="CD93" s="177">
        <v>53</v>
      </c>
      <c r="CE93" s="177">
        <v>98</v>
      </c>
      <c r="CF93" s="177">
        <v>7</v>
      </c>
      <c r="CG93" s="177">
        <v>44</v>
      </c>
      <c r="CH93" s="177">
        <v>15</v>
      </c>
      <c r="CI93" s="177">
        <v>26</v>
      </c>
      <c r="CJ93" s="177">
        <v>58</v>
      </c>
      <c r="CK93" s="178">
        <v>73</v>
      </c>
      <c r="CL93" s="180">
        <v>57</v>
      </c>
    </row>
    <row r="94" spans="1:90">
      <c r="A94" s="93">
        <f>ROWS($A$3:A92)</f>
        <v>90</v>
      </c>
      <c r="B94" s="67" t="s">
        <v>266</v>
      </c>
      <c r="C94" s="243"/>
      <c r="D94" s="314"/>
      <c r="E94" s="337"/>
      <c r="F94" s="156"/>
      <c r="G94" s="177"/>
      <c r="H94" s="177"/>
      <c r="I94" s="178"/>
      <c r="J94" s="181"/>
      <c r="K94" s="156">
        <f t="shared" ref="K94:AS94" si="209">$C$95</f>
        <v>2007</v>
      </c>
      <c r="L94" s="177">
        <f t="shared" si="209"/>
        <v>2007</v>
      </c>
      <c r="M94" s="177">
        <f t="shared" si="209"/>
        <v>2007</v>
      </c>
      <c r="N94" s="177">
        <f t="shared" si="209"/>
        <v>2007</v>
      </c>
      <c r="O94" s="177">
        <f t="shared" si="209"/>
        <v>2007</v>
      </c>
      <c r="P94" s="177">
        <f t="shared" si="209"/>
        <v>2007</v>
      </c>
      <c r="Q94" s="177">
        <f t="shared" si="209"/>
        <v>2007</v>
      </c>
      <c r="R94" s="177">
        <f t="shared" si="209"/>
        <v>2007</v>
      </c>
      <c r="S94" s="177">
        <f t="shared" si="209"/>
        <v>2007</v>
      </c>
      <c r="T94" s="177">
        <f t="shared" si="209"/>
        <v>2007</v>
      </c>
      <c r="U94" s="179">
        <f t="shared" si="209"/>
        <v>2007</v>
      </c>
      <c r="V94" s="177">
        <f t="shared" si="209"/>
        <v>2007</v>
      </c>
      <c r="W94" s="177">
        <f t="shared" si="209"/>
        <v>2007</v>
      </c>
      <c r="X94" s="177">
        <f t="shared" si="209"/>
        <v>2007</v>
      </c>
      <c r="Y94" s="177">
        <f t="shared" si="209"/>
        <v>2007</v>
      </c>
      <c r="Z94" s="177">
        <f t="shared" si="209"/>
        <v>2007</v>
      </c>
      <c r="AA94" s="177">
        <f t="shared" si="209"/>
        <v>2007</v>
      </c>
      <c r="AB94" s="179">
        <f t="shared" si="209"/>
        <v>2007</v>
      </c>
      <c r="AC94" s="177">
        <f t="shared" si="209"/>
        <v>2007</v>
      </c>
      <c r="AD94" s="177">
        <f t="shared" si="209"/>
        <v>2007</v>
      </c>
      <c r="AE94" s="177">
        <f t="shared" si="209"/>
        <v>2007</v>
      </c>
      <c r="AF94" s="177">
        <f t="shared" si="209"/>
        <v>2007</v>
      </c>
      <c r="AG94" s="177">
        <f t="shared" si="209"/>
        <v>2007</v>
      </c>
      <c r="AH94" s="177">
        <f t="shared" si="209"/>
        <v>2007</v>
      </c>
      <c r="AI94" s="177">
        <f t="shared" si="209"/>
        <v>2007</v>
      </c>
      <c r="AJ94" s="177">
        <f t="shared" si="209"/>
        <v>2007</v>
      </c>
      <c r="AK94" s="179">
        <f t="shared" si="209"/>
        <v>2007</v>
      </c>
      <c r="AL94" s="177">
        <f t="shared" si="209"/>
        <v>2007</v>
      </c>
      <c r="AM94" s="177">
        <f t="shared" si="209"/>
        <v>2007</v>
      </c>
      <c r="AN94" s="177">
        <f t="shared" si="209"/>
        <v>2007</v>
      </c>
      <c r="AO94" s="177">
        <f t="shared" si="209"/>
        <v>2007</v>
      </c>
      <c r="AP94" s="177">
        <f t="shared" si="209"/>
        <v>2007</v>
      </c>
      <c r="AQ94" s="177">
        <f t="shared" si="209"/>
        <v>2007</v>
      </c>
      <c r="AR94" s="177">
        <f t="shared" si="209"/>
        <v>2007</v>
      </c>
      <c r="AS94" s="178">
        <f t="shared" si="209"/>
        <v>2007</v>
      </c>
      <c r="AT94" s="177">
        <v>2009</v>
      </c>
      <c r="AU94" s="177">
        <f t="shared" ref="AU94:CL94" si="210">$C$95</f>
        <v>2007</v>
      </c>
      <c r="AV94" s="177">
        <f t="shared" si="210"/>
        <v>2007</v>
      </c>
      <c r="AW94" s="177">
        <f t="shared" si="210"/>
        <v>2007</v>
      </c>
      <c r="AX94" s="177">
        <f t="shared" si="210"/>
        <v>2007</v>
      </c>
      <c r="AY94" s="177">
        <f t="shared" si="210"/>
        <v>2007</v>
      </c>
      <c r="AZ94" s="177">
        <f t="shared" si="210"/>
        <v>2007</v>
      </c>
      <c r="BA94" s="177">
        <f t="shared" si="210"/>
        <v>2007</v>
      </c>
      <c r="BB94" s="177">
        <f t="shared" si="210"/>
        <v>2007</v>
      </c>
      <c r="BC94" s="177">
        <f t="shared" si="210"/>
        <v>2007</v>
      </c>
      <c r="BD94" s="177">
        <f t="shared" si="210"/>
        <v>2007</v>
      </c>
      <c r="BE94" s="177">
        <f t="shared" si="210"/>
        <v>2007</v>
      </c>
      <c r="BF94" s="179">
        <f t="shared" si="210"/>
        <v>2007</v>
      </c>
      <c r="BG94" s="177">
        <f t="shared" si="210"/>
        <v>2007</v>
      </c>
      <c r="BH94" s="177">
        <f t="shared" si="210"/>
        <v>2007</v>
      </c>
      <c r="BI94" s="177">
        <f t="shared" si="210"/>
        <v>2007</v>
      </c>
      <c r="BJ94" s="177">
        <f t="shared" si="210"/>
        <v>2007</v>
      </c>
      <c r="BK94" s="177">
        <f t="shared" si="210"/>
        <v>2007</v>
      </c>
      <c r="BL94" s="177">
        <f t="shared" si="210"/>
        <v>2007</v>
      </c>
      <c r="BM94" s="177">
        <f t="shared" si="210"/>
        <v>2007</v>
      </c>
      <c r="BN94" s="177">
        <f t="shared" si="210"/>
        <v>2007</v>
      </c>
      <c r="BO94" s="177">
        <f t="shared" si="210"/>
        <v>2007</v>
      </c>
      <c r="BP94" s="177">
        <f t="shared" si="210"/>
        <v>2007</v>
      </c>
      <c r="BQ94" s="177">
        <f t="shared" si="210"/>
        <v>2007</v>
      </c>
      <c r="BR94" s="179">
        <f t="shared" si="210"/>
        <v>2007</v>
      </c>
      <c r="BS94" s="177">
        <f t="shared" si="210"/>
        <v>2007</v>
      </c>
      <c r="BT94" s="177">
        <f t="shared" si="210"/>
        <v>2007</v>
      </c>
      <c r="BU94" s="177">
        <f t="shared" si="210"/>
        <v>2007</v>
      </c>
      <c r="BV94" s="177">
        <f t="shared" si="210"/>
        <v>2007</v>
      </c>
      <c r="BW94" s="177">
        <f t="shared" si="210"/>
        <v>2007</v>
      </c>
      <c r="BX94" s="177">
        <f t="shared" si="210"/>
        <v>2007</v>
      </c>
      <c r="BY94" s="177">
        <f t="shared" si="210"/>
        <v>2007</v>
      </c>
      <c r="BZ94" s="177">
        <f t="shared" si="210"/>
        <v>2007</v>
      </c>
      <c r="CA94" s="177">
        <f t="shared" si="210"/>
        <v>2007</v>
      </c>
      <c r="CB94" s="179">
        <f t="shared" si="210"/>
        <v>2007</v>
      </c>
      <c r="CC94" s="177">
        <f t="shared" si="210"/>
        <v>2007</v>
      </c>
      <c r="CD94" s="177">
        <f t="shared" si="210"/>
        <v>2007</v>
      </c>
      <c r="CE94" s="177">
        <f t="shared" si="210"/>
        <v>2007</v>
      </c>
      <c r="CF94" s="177">
        <f t="shared" si="210"/>
        <v>2007</v>
      </c>
      <c r="CG94" s="177">
        <f t="shared" si="210"/>
        <v>2007</v>
      </c>
      <c r="CH94" s="177">
        <f t="shared" si="210"/>
        <v>2007</v>
      </c>
      <c r="CI94" s="177">
        <f t="shared" si="210"/>
        <v>2007</v>
      </c>
      <c r="CJ94" s="177">
        <f t="shared" si="210"/>
        <v>2007</v>
      </c>
      <c r="CK94" s="178">
        <f t="shared" si="210"/>
        <v>2007</v>
      </c>
      <c r="CL94" s="180">
        <f t="shared" si="210"/>
        <v>2007</v>
      </c>
    </row>
    <row r="95" spans="1:90">
      <c r="A95" s="93">
        <f>ROWS($A$3:A93)</f>
        <v>91</v>
      </c>
      <c r="B95" s="106" t="s">
        <v>82</v>
      </c>
      <c r="C95" s="242">
        <v>2007</v>
      </c>
      <c r="D95" s="314" t="s">
        <v>14</v>
      </c>
      <c r="E95" s="316">
        <v>40441</v>
      </c>
      <c r="F95" s="156">
        <v>104235</v>
      </c>
      <c r="G95" s="177">
        <v>25196</v>
      </c>
      <c r="H95" s="177">
        <v>69319</v>
      </c>
      <c r="I95" s="178">
        <v>162587</v>
      </c>
      <c r="J95" s="181"/>
      <c r="K95" s="156">
        <f>BF95</f>
        <v>25240</v>
      </c>
      <c r="L95" s="177">
        <f>AY95</f>
        <v>7146</v>
      </c>
      <c r="M95" s="177">
        <f>BD95</f>
        <v>7653</v>
      </c>
      <c r="N95" s="177">
        <f>AW95</f>
        <v>10524</v>
      </c>
      <c r="O95" s="177">
        <f>BE95</f>
        <v>7901</v>
      </c>
      <c r="P95" s="177">
        <f>AZ95+BA95</f>
        <v>5183</v>
      </c>
      <c r="Q95" s="177">
        <f>'2007'!AU95</f>
        <v>3047</v>
      </c>
      <c r="R95" s="177">
        <f>AX95</f>
        <v>4764</v>
      </c>
      <c r="S95" s="177">
        <f>AV95</f>
        <v>2894</v>
      </c>
      <c r="T95" s="177">
        <f t="shared" ref="T95:U99" si="211">BB95</f>
        <v>7525</v>
      </c>
      <c r="U95" s="179">
        <f t="shared" si="211"/>
        <v>21941</v>
      </c>
      <c r="V95" s="177">
        <f>BJ95</f>
        <v>494</v>
      </c>
      <c r="W95" s="177">
        <f>BR95</f>
        <v>4006</v>
      </c>
      <c r="X95" s="177">
        <f>BH95+BI95</f>
        <v>1561</v>
      </c>
      <c r="Y95" s="177">
        <f>BK95+BL95+BN95</f>
        <v>4169</v>
      </c>
      <c r="Z95" s="177">
        <f>BM95</f>
        <v>8366</v>
      </c>
      <c r="AA95" s="177">
        <f>BO95+BQ95</f>
        <v>2915</v>
      </c>
      <c r="AB95" s="179">
        <f>BP95</f>
        <v>3685</v>
      </c>
      <c r="AC95" s="177">
        <f>BX95</f>
        <v>12022</v>
      </c>
      <c r="AD95" s="177">
        <f>BU95</f>
        <v>3827</v>
      </c>
      <c r="AE95" s="177">
        <f>BT95</f>
        <v>10510</v>
      </c>
      <c r="AF95" s="177">
        <f>CA95</f>
        <v>3991</v>
      </c>
      <c r="AG95" s="177">
        <f>BV95</f>
        <v>9030</v>
      </c>
      <c r="AH95" s="177">
        <f>BZ95</f>
        <v>9076</v>
      </c>
      <c r="AI95" s="177">
        <f>BW95</f>
        <v>5553</v>
      </c>
      <c r="AJ95" s="177">
        <f>BY95</f>
        <v>5132</v>
      </c>
      <c r="AK95" s="179">
        <f>CB95</f>
        <v>10178</v>
      </c>
      <c r="AL95" s="177">
        <f>CE95</f>
        <v>3178</v>
      </c>
      <c r="AM95" s="177">
        <f>CH95</f>
        <v>35255</v>
      </c>
      <c r="AN95" s="177">
        <f>CJ95</f>
        <v>69212</v>
      </c>
      <c r="AO95" s="177">
        <f t="shared" ref="AO95:AP99" si="212">CC95</f>
        <v>8763</v>
      </c>
      <c r="AP95" s="177">
        <f t="shared" si="212"/>
        <v>1789</v>
      </c>
      <c r="AQ95" s="177">
        <f>CK95</f>
        <v>13497</v>
      </c>
      <c r="AR95" s="177">
        <f>CI95</f>
        <v>11150</v>
      </c>
      <c r="AS95" s="178">
        <f>CF95+CG95</f>
        <v>19743</v>
      </c>
      <c r="AT95" s="181">
        <v>0</v>
      </c>
      <c r="AU95" s="181">
        <v>3047</v>
      </c>
      <c r="AV95" s="181">
        <v>2894</v>
      </c>
      <c r="AW95" s="181">
        <v>10524</v>
      </c>
      <c r="AX95" s="177">
        <v>4764</v>
      </c>
      <c r="AY95" s="177">
        <v>7146</v>
      </c>
      <c r="AZ95" s="177">
        <v>151</v>
      </c>
      <c r="BA95" s="177">
        <v>5032</v>
      </c>
      <c r="BB95" s="177">
        <v>7525</v>
      </c>
      <c r="BC95" s="177">
        <v>21941</v>
      </c>
      <c r="BD95" s="177">
        <v>7653</v>
      </c>
      <c r="BE95" s="177">
        <v>7901</v>
      </c>
      <c r="BF95" s="179">
        <v>25240</v>
      </c>
      <c r="BG95" s="177">
        <v>0</v>
      </c>
      <c r="BH95" s="177">
        <v>89</v>
      </c>
      <c r="BI95" s="177">
        <v>1472</v>
      </c>
      <c r="BJ95" s="177">
        <v>494</v>
      </c>
      <c r="BK95" s="177">
        <v>205</v>
      </c>
      <c r="BL95" s="177">
        <v>16</v>
      </c>
      <c r="BM95" s="177">
        <v>8366</v>
      </c>
      <c r="BN95" s="177">
        <v>3948</v>
      </c>
      <c r="BO95" s="177">
        <v>78</v>
      </c>
      <c r="BP95" s="177">
        <v>3685</v>
      </c>
      <c r="BQ95" s="177">
        <v>2837</v>
      </c>
      <c r="BR95" s="179">
        <v>4006</v>
      </c>
      <c r="BS95" s="177">
        <v>0</v>
      </c>
      <c r="BT95" s="177">
        <v>10510</v>
      </c>
      <c r="BU95" s="177">
        <v>3827</v>
      </c>
      <c r="BV95" s="177">
        <v>9030</v>
      </c>
      <c r="BW95" s="177">
        <v>5553</v>
      </c>
      <c r="BX95" s="177">
        <v>12022</v>
      </c>
      <c r="BY95" s="177">
        <v>5132</v>
      </c>
      <c r="BZ95" s="177">
        <v>9076</v>
      </c>
      <c r="CA95" s="177">
        <v>3991</v>
      </c>
      <c r="CB95" s="179">
        <v>10178</v>
      </c>
      <c r="CC95" s="177">
        <v>8763</v>
      </c>
      <c r="CD95" s="177">
        <v>1789</v>
      </c>
      <c r="CE95" s="177">
        <v>3178</v>
      </c>
      <c r="CF95" s="177">
        <v>847</v>
      </c>
      <c r="CG95" s="177">
        <v>18896</v>
      </c>
      <c r="CH95" s="177">
        <v>35255</v>
      </c>
      <c r="CI95" s="177">
        <v>11150</v>
      </c>
      <c r="CJ95" s="177">
        <v>69212</v>
      </c>
      <c r="CK95" s="178">
        <v>13497</v>
      </c>
      <c r="CL95" s="180">
        <v>361332</v>
      </c>
    </row>
    <row r="96" spans="1:90">
      <c r="A96" s="93">
        <f>ROWS($A$3:A94)</f>
        <v>92</v>
      </c>
      <c r="B96" s="106" t="s">
        <v>106</v>
      </c>
      <c r="C96" s="243">
        <f>C95</f>
        <v>2007</v>
      </c>
      <c r="D96" s="314" t="s">
        <v>11</v>
      </c>
      <c r="E96" s="316">
        <v>40441</v>
      </c>
      <c r="F96" s="156">
        <v>645090</v>
      </c>
      <c r="G96" s="177">
        <v>146126</v>
      </c>
      <c r="H96" s="177">
        <v>380080</v>
      </c>
      <c r="I96" s="178">
        <v>1026213</v>
      </c>
      <c r="J96" s="181"/>
      <c r="K96" s="156">
        <f>BF96</f>
        <v>165245</v>
      </c>
      <c r="L96" s="177">
        <f>AY96</f>
        <v>43879</v>
      </c>
      <c r="M96" s="177">
        <f>BD96</f>
        <v>46454</v>
      </c>
      <c r="N96" s="177">
        <f>AW96</f>
        <v>59369</v>
      </c>
      <c r="O96" s="177">
        <f>BE96</f>
        <v>46862</v>
      </c>
      <c r="P96" s="177">
        <f>AZ96+BA96</f>
        <v>30771</v>
      </c>
      <c r="Q96" s="177">
        <f>'2007'!AU96</f>
        <v>18174</v>
      </c>
      <c r="R96" s="177">
        <f>AX96</f>
        <v>29281</v>
      </c>
      <c r="S96" s="177">
        <f>AV96</f>
        <v>13914</v>
      </c>
      <c r="T96" s="177">
        <f t="shared" si="211"/>
        <v>46620</v>
      </c>
      <c r="U96" s="179">
        <f t="shared" si="211"/>
        <v>142313</v>
      </c>
      <c r="V96" s="177">
        <f>BJ96</f>
        <v>2130</v>
      </c>
      <c r="W96" s="177">
        <f>BR96</f>
        <v>22739</v>
      </c>
      <c r="X96" s="177">
        <f>BH96+BI96</f>
        <v>7440</v>
      </c>
      <c r="Y96" s="177">
        <f>BK96+BL96+BN96</f>
        <v>24111</v>
      </c>
      <c r="Z96" s="177">
        <f>BM96</f>
        <v>50938</v>
      </c>
      <c r="AA96" s="177">
        <f>BO96+BQ96</f>
        <v>17633</v>
      </c>
      <c r="AB96" s="179">
        <f>BP96</f>
        <v>21135</v>
      </c>
      <c r="AC96" s="177">
        <f>BX96</f>
        <v>63405</v>
      </c>
      <c r="AD96" s="177">
        <f>BU96</f>
        <v>19010</v>
      </c>
      <c r="AE96" s="177">
        <f>BT96</f>
        <v>57822</v>
      </c>
      <c r="AF96" s="177">
        <f>CA96</f>
        <v>19171</v>
      </c>
      <c r="AG96" s="177">
        <f>BV96</f>
        <v>41802</v>
      </c>
      <c r="AH96" s="177">
        <f>BZ96</f>
        <v>58162</v>
      </c>
      <c r="AI96" s="177">
        <f>BW96</f>
        <v>28864</v>
      </c>
      <c r="AJ96" s="177">
        <f>BY96</f>
        <v>32079</v>
      </c>
      <c r="AK96" s="179">
        <f>CB96</f>
        <v>59765</v>
      </c>
      <c r="AL96" s="177">
        <f>CE96</f>
        <v>20658</v>
      </c>
      <c r="AM96" s="177">
        <f>CH96</f>
        <v>221995</v>
      </c>
      <c r="AN96" s="177">
        <f>CJ96</f>
        <v>454613</v>
      </c>
      <c r="AO96" s="177">
        <f t="shared" si="212"/>
        <v>51408</v>
      </c>
      <c r="AP96" s="177">
        <f t="shared" si="212"/>
        <v>9678</v>
      </c>
      <c r="AQ96" s="177">
        <f>CK96</f>
        <v>79595</v>
      </c>
      <c r="AR96" s="177">
        <f>CI96</f>
        <v>66931</v>
      </c>
      <c r="AS96" s="178">
        <f>CF96+CG96</f>
        <v>121335</v>
      </c>
      <c r="AT96" s="181">
        <v>0</v>
      </c>
      <c r="AU96" s="181">
        <v>18174</v>
      </c>
      <c r="AV96" s="181">
        <v>13914</v>
      </c>
      <c r="AW96" s="181">
        <v>59369</v>
      </c>
      <c r="AX96" s="177">
        <v>29281</v>
      </c>
      <c r="AY96" s="177">
        <v>43879</v>
      </c>
      <c r="AZ96" s="177">
        <v>529</v>
      </c>
      <c r="BA96" s="177">
        <v>30242</v>
      </c>
      <c r="BB96" s="177">
        <v>46620</v>
      </c>
      <c r="BC96" s="177">
        <v>142313</v>
      </c>
      <c r="BD96" s="177">
        <v>46454</v>
      </c>
      <c r="BE96" s="177">
        <v>46862</v>
      </c>
      <c r="BF96" s="179">
        <v>165245</v>
      </c>
      <c r="BG96" s="177">
        <v>0</v>
      </c>
      <c r="BH96" s="177">
        <v>368</v>
      </c>
      <c r="BI96" s="177">
        <v>7072</v>
      </c>
      <c r="BJ96" s="177">
        <v>2130</v>
      </c>
      <c r="BK96" s="177">
        <v>971</v>
      </c>
      <c r="BL96" s="177">
        <v>57</v>
      </c>
      <c r="BM96" s="177">
        <v>50938</v>
      </c>
      <c r="BN96" s="177">
        <v>23083</v>
      </c>
      <c r="BO96" s="177">
        <v>175</v>
      </c>
      <c r="BP96" s="177">
        <v>21135</v>
      </c>
      <c r="BQ96" s="177">
        <v>17458</v>
      </c>
      <c r="BR96" s="179">
        <v>22739</v>
      </c>
      <c r="BS96" s="177">
        <v>0</v>
      </c>
      <c r="BT96" s="177">
        <v>57822</v>
      </c>
      <c r="BU96" s="177">
        <v>19010</v>
      </c>
      <c r="BV96" s="177">
        <v>41802</v>
      </c>
      <c r="BW96" s="177">
        <v>28864</v>
      </c>
      <c r="BX96" s="177">
        <v>63405</v>
      </c>
      <c r="BY96" s="177">
        <v>32079</v>
      </c>
      <c r="BZ96" s="177">
        <v>58162</v>
      </c>
      <c r="CA96" s="177">
        <v>19171</v>
      </c>
      <c r="CB96" s="179">
        <v>59765</v>
      </c>
      <c r="CC96" s="177">
        <v>51408</v>
      </c>
      <c r="CD96" s="177">
        <v>9678</v>
      </c>
      <c r="CE96" s="177">
        <v>20658</v>
      </c>
      <c r="CF96" s="177">
        <v>6170</v>
      </c>
      <c r="CG96" s="177">
        <v>115165</v>
      </c>
      <c r="CH96" s="177">
        <v>221995</v>
      </c>
      <c r="CI96" s="177">
        <v>66931</v>
      </c>
      <c r="CJ96" s="177">
        <v>454613</v>
      </c>
      <c r="CK96" s="178">
        <v>79595</v>
      </c>
      <c r="CL96" s="180">
        <v>2197509</v>
      </c>
    </row>
    <row r="97" spans="1:90">
      <c r="A97" s="93">
        <f>ROWS($A$3:A95)</f>
        <v>93</v>
      </c>
      <c r="B97" s="106" t="s">
        <v>107</v>
      </c>
      <c r="C97" s="238">
        <f>C95</f>
        <v>2007</v>
      </c>
      <c r="D97" s="314" t="s">
        <v>11</v>
      </c>
      <c r="E97" s="316">
        <v>40441</v>
      </c>
      <c r="F97" s="156">
        <v>603900</v>
      </c>
      <c r="G97" s="177">
        <v>138347</v>
      </c>
      <c r="H97" s="177">
        <v>352711</v>
      </c>
      <c r="I97" s="178">
        <v>981472</v>
      </c>
      <c r="J97" s="181"/>
      <c r="K97" s="156">
        <f>BF97</f>
        <v>155074</v>
      </c>
      <c r="L97" s="177">
        <f>AY97</f>
        <v>41053</v>
      </c>
      <c r="M97" s="177">
        <f>BD97</f>
        <v>43478</v>
      </c>
      <c r="N97" s="177">
        <f>AW97</f>
        <v>55266</v>
      </c>
      <c r="O97" s="177">
        <f>BE97</f>
        <v>43767</v>
      </c>
      <c r="P97" s="177">
        <f>AZ97+BA97</f>
        <v>28830</v>
      </c>
      <c r="Q97" s="177">
        <f>'2007'!AU97</f>
        <v>17006</v>
      </c>
      <c r="R97" s="177">
        <f>AX97</f>
        <v>27467</v>
      </c>
      <c r="S97" s="177">
        <f>AV97</f>
        <v>12840</v>
      </c>
      <c r="T97" s="177">
        <f>BB97</f>
        <v>43685</v>
      </c>
      <c r="U97" s="179">
        <f>BC97</f>
        <v>133375</v>
      </c>
      <c r="V97" s="177">
        <f>BJ97</f>
        <v>1976</v>
      </c>
      <c r="W97" s="177">
        <f>BR97</f>
        <v>21466</v>
      </c>
      <c r="X97" s="177">
        <f>BH97+BI97</f>
        <v>7001</v>
      </c>
      <c r="Y97" s="177">
        <f>BK97+BL97+BN97</f>
        <v>22899</v>
      </c>
      <c r="Z97" s="177">
        <f>BM97</f>
        <v>48317</v>
      </c>
      <c r="AA97" s="177">
        <f>BO97+BQ97</f>
        <v>16733</v>
      </c>
      <c r="AB97" s="179">
        <f>BP97</f>
        <v>19955</v>
      </c>
      <c r="AC97" s="177">
        <f>BX97</f>
        <v>58748</v>
      </c>
      <c r="AD97" s="177">
        <f>BU97</f>
        <v>17428</v>
      </c>
      <c r="AE97" s="177">
        <f>BT97</f>
        <v>53636</v>
      </c>
      <c r="AF97" s="177">
        <f>CA97</f>
        <v>17518</v>
      </c>
      <c r="AG97" s="177">
        <f>BV97</f>
        <v>38241</v>
      </c>
      <c r="AH97" s="177">
        <f>BZ97</f>
        <v>54696</v>
      </c>
      <c r="AI97" s="177">
        <f>BW97</f>
        <v>26720</v>
      </c>
      <c r="AJ97" s="177">
        <f>BY97</f>
        <v>30031</v>
      </c>
      <c r="AK97" s="179">
        <f>CB97</f>
        <v>55693</v>
      </c>
      <c r="AL97" s="177">
        <f>CE97</f>
        <v>19734</v>
      </c>
      <c r="AM97" s="177">
        <f>CH97</f>
        <v>212304</v>
      </c>
      <c r="AN97" s="177">
        <f>CJ97</f>
        <v>435692</v>
      </c>
      <c r="AO97" s="177">
        <f>CC97</f>
        <v>48954</v>
      </c>
      <c r="AP97" s="177">
        <f>CD97</f>
        <v>9167</v>
      </c>
      <c r="AQ97" s="177">
        <f>CK97</f>
        <v>75781</v>
      </c>
      <c r="AR97" s="177">
        <f>CI97</f>
        <v>63850</v>
      </c>
      <c r="AS97" s="178">
        <f>CF97+CG97</f>
        <v>115990</v>
      </c>
      <c r="AT97" s="181">
        <v>0</v>
      </c>
      <c r="AU97" s="181">
        <v>17006</v>
      </c>
      <c r="AV97" s="181">
        <v>12840</v>
      </c>
      <c r="AW97" s="181">
        <v>55266</v>
      </c>
      <c r="AX97" s="177">
        <v>27467</v>
      </c>
      <c r="AY97" s="177">
        <v>41053</v>
      </c>
      <c r="AZ97" s="177">
        <v>483</v>
      </c>
      <c r="BA97" s="177">
        <v>28347</v>
      </c>
      <c r="BB97" s="177">
        <v>43685</v>
      </c>
      <c r="BC97" s="177">
        <v>133375</v>
      </c>
      <c r="BD97" s="177">
        <v>43478</v>
      </c>
      <c r="BE97" s="177">
        <v>43767</v>
      </c>
      <c r="BF97" s="179">
        <v>155074</v>
      </c>
      <c r="BG97" s="181">
        <v>0</v>
      </c>
      <c r="BH97" s="177">
        <v>354</v>
      </c>
      <c r="BI97" s="177">
        <v>6647</v>
      </c>
      <c r="BJ97" s="177">
        <v>1976</v>
      </c>
      <c r="BK97" s="177">
        <v>959</v>
      </c>
      <c r="BL97" s="177">
        <v>55</v>
      </c>
      <c r="BM97" s="177">
        <v>48317</v>
      </c>
      <c r="BN97" s="177">
        <v>21885</v>
      </c>
      <c r="BO97" s="177">
        <v>175</v>
      </c>
      <c r="BP97" s="177">
        <v>19955</v>
      </c>
      <c r="BQ97" s="177">
        <v>16558</v>
      </c>
      <c r="BR97" s="179">
        <v>21466</v>
      </c>
      <c r="BS97" s="177">
        <v>0</v>
      </c>
      <c r="BT97" s="177">
        <v>53636</v>
      </c>
      <c r="BU97" s="177">
        <v>17428</v>
      </c>
      <c r="BV97" s="177">
        <v>38241</v>
      </c>
      <c r="BW97" s="177">
        <v>26720</v>
      </c>
      <c r="BX97" s="177">
        <v>58748</v>
      </c>
      <c r="BY97" s="177">
        <v>30031</v>
      </c>
      <c r="BZ97" s="177">
        <v>54696</v>
      </c>
      <c r="CA97" s="177">
        <v>17518</v>
      </c>
      <c r="CB97" s="179">
        <v>55693</v>
      </c>
      <c r="CC97" s="177">
        <v>48954</v>
      </c>
      <c r="CD97" s="177">
        <v>9167</v>
      </c>
      <c r="CE97" s="177">
        <v>19734</v>
      </c>
      <c r="CF97" s="177">
        <v>6133</v>
      </c>
      <c r="CG97" s="177">
        <v>109857</v>
      </c>
      <c r="CH97" s="177">
        <v>212304</v>
      </c>
      <c r="CI97" s="177">
        <v>63850</v>
      </c>
      <c r="CJ97" s="177">
        <v>435692</v>
      </c>
      <c r="CK97" s="178">
        <v>75781</v>
      </c>
      <c r="CL97" s="180">
        <v>2076430</v>
      </c>
    </row>
    <row r="98" spans="1:90">
      <c r="A98" s="93">
        <f>ROWS($A$3:A96)</f>
        <v>94</v>
      </c>
      <c r="B98" s="63" t="s">
        <v>82</v>
      </c>
      <c r="C98" s="242">
        <v>2001</v>
      </c>
      <c r="D98" s="314" t="s">
        <v>14</v>
      </c>
      <c r="E98" s="316">
        <v>40441</v>
      </c>
      <c r="F98" s="194">
        <v>122737</v>
      </c>
      <c r="G98" s="195">
        <v>30239</v>
      </c>
      <c r="H98" s="195">
        <v>82089</v>
      </c>
      <c r="I98" s="196">
        <v>186831</v>
      </c>
      <c r="J98" s="348"/>
      <c r="K98" s="197">
        <f>BF98</f>
        <v>29042</v>
      </c>
      <c r="L98" s="147">
        <f>AY98</f>
        <v>8671</v>
      </c>
      <c r="M98" s="147">
        <f>BD98</f>
        <v>9647</v>
      </c>
      <c r="N98" s="147">
        <f>AW98</f>
        <v>12155</v>
      </c>
      <c r="O98" s="147">
        <f>BE98</f>
        <v>8882</v>
      </c>
      <c r="P98" s="177">
        <f>AZ98+BA98</f>
        <v>6750</v>
      </c>
      <c r="Q98" s="147">
        <f>'2007'!AU98</f>
        <v>3596</v>
      </c>
      <c r="R98" s="147">
        <f>AT98+AX98</f>
        <v>6359</v>
      </c>
      <c r="S98" s="147">
        <f>AV98</f>
        <v>3597</v>
      </c>
      <c r="T98" s="147">
        <f t="shared" si="211"/>
        <v>9048</v>
      </c>
      <c r="U98" s="145">
        <f t="shared" si="211"/>
        <v>25010</v>
      </c>
      <c r="V98" s="147">
        <f>BJ98</f>
        <v>733</v>
      </c>
      <c r="W98" s="147">
        <f>BR98</f>
        <v>4744</v>
      </c>
      <c r="X98" s="177">
        <f>BH98+BI98</f>
        <v>2102</v>
      </c>
      <c r="Y98" s="177">
        <f>BK98+BL98+BN98</f>
        <v>5175</v>
      </c>
      <c r="Z98" s="147">
        <f>BM98</f>
        <v>9713</v>
      </c>
      <c r="AA98" s="177">
        <f>BO98+BQ98</f>
        <v>3302</v>
      </c>
      <c r="AB98" s="145">
        <f>BP98</f>
        <v>4470</v>
      </c>
      <c r="AC98" s="147">
        <f>BX98</f>
        <v>13714</v>
      </c>
      <c r="AD98" s="147">
        <f>BU98</f>
        <v>4577</v>
      </c>
      <c r="AE98" s="147">
        <f>BT98</f>
        <v>12575</v>
      </c>
      <c r="AF98" s="147">
        <f>CA98</f>
        <v>5079</v>
      </c>
      <c r="AG98" s="147">
        <f>BV98</f>
        <v>11376</v>
      </c>
      <c r="AH98" s="147">
        <f>BZ98</f>
        <v>10288</v>
      </c>
      <c r="AI98" s="147">
        <f>BW98</f>
        <v>6966</v>
      </c>
      <c r="AJ98" s="147">
        <f>BY98</f>
        <v>5669</v>
      </c>
      <c r="AK98" s="145">
        <f>CB98</f>
        <v>11846</v>
      </c>
      <c r="AL98" s="147">
        <f>CE98</f>
        <v>3682</v>
      </c>
      <c r="AM98" s="147">
        <f>CH98</f>
        <v>40047</v>
      </c>
      <c r="AN98" s="147">
        <f>CJ98</f>
        <v>77867</v>
      </c>
      <c r="AO98" s="147">
        <f t="shared" si="212"/>
        <v>10463</v>
      </c>
      <c r="AP98" s="147">
        <f t="shared" si="212"/>
        <v>2188</v>
      </c>
      <c r="AQ98" s="147">
        <f>CK98</f>
        <v>16050</v>
      </c>
      <c r="AR98" s="147">
        <f>CI98</f>
        <v>13238</v>
      </c>
      <c r="AS98" s="178">
        <f>CF98+CG98</f>
        <v>23297</v>
      </c>
      <c r="AT98" s="147">
        <v>488</v>
      </c>
      <c r="AU98" s="147">
        <v>3596</v>
      </c>
      <c r="AV98" s="147">
        <v>3597</v>
      </c>
      <c r="AW98" s="147">
        <v>12155</v>
      </c>
      <c r="AX98" s="147">
        <v>5871</v>
      </c>
      <c r="AY98" s="147">
        <v>8671</v>
      </c>
      <c r="AZ98" s="147">
        <v>266</v>
      </c>
      <c r="BA98" s="147">
        <v>6484</v>
      </c>
      <c r="BB98" s="147">
        <v>9048</v>
      </c>
      <c r="BC98" s="147">
        <v>25010</v>
      </c>
      <c r="BD98" s="147">
        <v>9647</v>
      </c>
      <c r="BE98" s="147">
        <v>8882</v>
      </c>
      <c r="BF98" s="145">
        <v>29042</v>
      </c>
      <c r="BG98" s="199" t="s">
        <v>61</v>
      </c>
      <c r="BH98" s="147">
        <v>113</v>
      </c>
      <c r="BI98" s="147">
        <v>1989</v>
      </c>
      <c r="BJ98" s="147">
        <v>733</v>
      </c>
      <c r="BK98" s="147">
        <v>256</v>
      </c>
      <c r="BL98" s="147">
        <v>39</v>
      </c>
      <c r="BM98" s="147">
        <v>9713</v>
      </c>
      <c r="BN98" s="147">
        <v>4880</v>
      </c>
      <c r="BO98" s="199">
        <v>113</v>
      </c>
      <c r="BP98" s="147">
        <v>4470</v>
      </c>
      <c r="BQ98" s="147">
        <v>3189</v>
      </c>
      <c r="BR98" s="145">
        <v>4744</v>
      </c>
      <c r="BS98" s="199" t="s">
        <v>61</v>
      </c>
      <c r="BT98" s="147">
        <v>12575</v>
      </c>
      <c r="BU98" s="147">
        <v>4577</v>
      </c>
      <c r="BV98" s="147">
        <v>11376</v>
      </c>
      <c r="BW98" s="147">
        <v>6966</v>
      </c>
      <c r="BX98" s="147">
        <v>13714</v>
      </c>
      <c r="BY98" s="147">
        <v>5669</v>
      </c>
      <c r="BZ98" s="147">
        <v>10288</v>
      </c>
      <c r="CA98" s="147">
        <v>5079</v>
      </c>
      <c r="CB98" s="145">
        <v>11846</v>
      </c>
      <c r="CC98" s="147">
        <v>10463</v>
      </c>
      <c r="CD98" s="147">
        <v>2188</v>
      </c>
      <c r="CE98" s="147">
        <v>3682</v>
      </c>
      <c r="CF98" s="147">
        <v>1002</v>
      </c>
      <c r="CG98" s="147">
        <v>22295</v>
      </c>
      <c r="CH98" s="147">
        <v>40047</v>
      </c>
      <c r="CI98" s="147">
        <v>13238</v>
      </c>
      <c r="CJ98" s="147">
        <v>77867</v>
      </c>
      <c r="CK98" s="198">
        <v>16050</v>
      </c>
      <c r="CL98" s="163">
        <v>421896</v>
      </c>
    </row>
    <row r="99" spans="1:90">
      <c r="A99" s="93">
        <f>ROWS($A$3:A97)</f>
        <v>95</v>
      </c>
      <c r="B99" s="63" t="s">
        <v>107</v>
      </c>
      <c r="C99" s="245">
        <f>C98</f>
        <v>2001</v>
      </c>
      <c r="D99" s="314" t="s">
        <v>11</v>
      </c>
      <c r="E99" s="316">
        <v>40441</v>
      </c>
      <c r="F99" s="194">
        <v>618865</v>
      </c>
      <c r="G99" s="195">
        <v>149025</v>
      </c>
      <c r="H99" s="195">
        <v>366598</v>
      </c>
      <c r="I99" s="196">
        <v>1009287</v>
      </c>
      <c r="J99" s="348"/>
      <c r="K99" s="197">
        <f>BF99</f>
        <v>150712</v>
      </c>
      <c r="L99" s="147">
        <f>AY99</f>
        <v>42810</v>
      </c>
      <c r="M99" s="147">
        <f>BD99</f>
        <v>45971</v>
      </c>
      <c r="N99" s="147">
        <f>AW99</f>
        <v>57752</v>
      </c>
      <c r="O99" s="147">
        <f>BE99</f>
        <v>42099</v>
      </c>
      <c r="P99" s="177">
        <f>AZ99+BA99</f>
        <v>34324</v>
      </c>
      <c r="Q99" s="147">
        <f>'2007'!AU99</f>
        <v>18437</v>
      </c>
      <c r="R99" s="147">
        <f>AT99+AX99</f>
        <v>31700</v>
      </c>
      <c r="S99" s="147">
        <f>AV99</f>
        <v>14642</v>
      </c>
      <c r="T99" s="147">
        <f t="shared" si="211"/>
        <v>45007</v>
      </c>
      <c r="U99" s="145">
        <f t="shared" si="211"/>
        <v>135411</v>
      </c>
      <c r="V99" s="147">
        <f>BJ99</f>
        <v>2815</v>
      </c>
      <c r="W99" s="147">
        <f>BR99</f>
        <v>22064</v>
      </c>
      <c r="X99" s="177">
        <f>BH99+BI99</f>
        <v>8816</v>
      </c>
      <c r="Y99" s="177">
        <f>BK99+BL99+BN99</f>
        <v>25904</v>
      </c>
      <c r="Z99" s="147">
        <f>BM99</f>
        <v>51750</v>
      </c>
      <c r="AA99" s="177">
        <f>BO99+BQ99</f>
        <v>16216</v>
      </c>
      <c r="AB99" s="145">
        <f>BP99</f>
        <v>21460</v>
      </c>
      <c r="AC99" s="147">
        <f>BX99</f>
        <v>61788</v>
      </c>
      <c r="AD99" s="147">
        <f>BU99</f>
        <v>19448</v>
      </c>
      <c r="AE99" s="147">
        <f>BT99</f>
        <v>55233</v>
      </c>
      <c r="AF99" s="147">
        <f>CA99</f>
        <v>19955</v>
      </c>
      <c r="AG99" s="147">
        <f>BV99</f>
        <v>44544</v>
      </c>
      <c r="AH99" s="147">
        <f>BZ99</f>
        <v>53603</v>
      </c>
      <c r="AI99" s="147">
        <f>BW99</f>
        <v>29404</v>
      </c>
      <c r="AJ99" s="147">
        <f>BY99</f>
        <v>28518</v>
      </c>
      <c r="AK99" s="145">
        <f>CB99</f>
        <v>54105</v>
      </c>
      <c r="AL99" s="147">
        <f>CE99</f>
        <v>19008</v>
      </c>
      <c r="AM99" s="147">
        <f>CH99</f>
        <v>219991</v>
      </c>
      <c r="AN99" s="147">
        <f>CJ99</f>
        <v>437632</v>
      </c>
      <c r="AO99" s="147">
        <f t="shared" si="212"/>
        <v>51966</v>
      </c>
      <c r="AP99" s="147">
        <f t="shared" si="212"/>
        <v>9443</v>
      </c>
      <c r="AQ99" s="147">
        <f>CK99</f>
        <v>80123</v>
      </c>
      <c r="AR99" s="147">
        <f>CI99</f>
        <v>71575</v>
      </c>
      <c r="AS99" s="178">
        <f>CF99+CG99</f>
        <v>119549</v>
      </c>
      <c r="AT99" s="147">
        <v>2163</v>
      </c>
      <c r="AU99" s="147">
        <v>18437</v>
      </c>
      <c r="AV99" s="147">
        <v>14642</v>
      </c>
      <c r="AW99" s="147">
        <v>57752</v>
      </c>
      <c r="AX99" s="147">
        <v>29537</v>
      </c>
      <c r="AY99" s="147">
        <v>42810</v>
      </c>
      <c r="AZ99" s="147">
        <v>832</v>
      </c>
      <c r="BA99" s="147">
        <v>33492</v>
      </c>
      <c r="BB99" s="147">
        <v>45007</v>
      </c>
      <c r="BC99" s="147">
        <v>135411</v>
      </c>
      <c r="BD99" s="147">
        <v>45971</v>
      </c>
      <c r="BE99" s="147">
        <v>42099</v>
      </c>
      <c r="BF99" s="145">
        <v>150712</v>
      </c>
      <c r="BG99" s="199" t="s">
        <v>61</v>
      </c>
      <c r="BH99" s="147">
        <v>500</v>
      </c>
      <c r="BI99" s="147">
        <v>8316</v>
      </c>
      <c r="BJ99" s="147">
        <v>2815</v>
      </c>
      <c r="BK99" s="147">
        <v>1657</v>
      </c>
      <c r="BL99" s="147">
        <v>163</v>
      </c>
      <c r="BM99" s="147">
        <v>51750</v>
      </c>
      <c r="BN99" s="147">
        <v>24084</v>
      </c>
      <c r="BO99" s="199">
        <v>477</v>
      </c>
      <c r="BP99" s="147">
        <v>21460</v>
      </c>
      <c r="BQ99" s="147">
        <v>15739</v>
      </c>
      <c r="BR99" s="145">
        <v>22064</v>
      </c>
      <c r="BS99" s="199" t="s">
        <v>61</v>
      </c>
      <c r="BT99" s="147">
        <v>55233</v>
      </c>
      <c r="BU99" s="147">
        <v>19448</v>
      </c>
      <c r="BV99" s="147">
        <v>44544</v>
      </c>
      <c r="BW99" s="147">
        <v>29404</v>
      </c>
      <c r="BX99" s="147">
        <v>61788</v>
      </c>
      <c r="BY99" s="147">
        <v>28518</v>
      </c>
      <c r="BZ99" s="147">
        <v>53603</v>
      </c>
      <c r="CA99" s="147">
        <v>19955</v>
      </c>
      <c r="CB99" s="145">
        <v>54105</v>
      </c>
      <c r="CC99" s="147">
        <v>51966</v>
      </c>
      <c r="CD99" s="147">
        <v>9443</v>
      </c>
      <c r="CE99" s="147">
        <v>19008</v>
      </c>
      <c r="CF99" s="147">
        <v>6155</v>
      </c>
      <c r="CG99" s="147">
        <v>113394</v>
      </c>
      <c r="CH99" s="147">
        <v>219991</v>
      </c>
      <c r="CI99" s="147">
        <v>71575</v>
      </c>
      <c r="CJ99" s="147">
        <v>437632</v>
      </c>
      <c r="CK99" s="198">
        <v>80123</v>
      </c>
      <c r="CL99" s="163">
        <v>2143775</v>
      </c>
    </row>
    <row r="100" spans="1:90">
      <c r="A100" s="93">
        <f>ROWS($A$3:A98)</f>
        <v>96</v>
      </c>
      <c r="B100" s="63"/>
      <c r="C100" s="243"/>
      <c r="D100" s="314"/>
      <c r="E100" s="333"/>
      <c r="F100" s="194" t="s">
        <v>245</v>
      </c>
      <c r="G100" s="195" t="s">
        <v>245</v>
      </c>
      <c r="H100" s="195" t="s">
        <v>245</v>
      </c>
      <c r="I100" s="196" t="s">
        <v>245</v>
      </c>
      <c r="J100" s="348"/>
      <c r="K100" s="197" t="s">
        <v>245</v>
      </c>
      <c r="L100" s="147" t="s">
        <v>245</v>
      </c>
      <c r="M100" s="147" t="s">
        <v>245</v>
      </c>
      <c r="N100" s="147" t="s">
        <v>245</v>
      </c>
      <c r="O100" s="147" t="s">
        <v>245</v>
      </c>
      <c r="P100" s="147" t="s">
        <v>229</v>
      </c>
      <c r="Q100" s="147" t="s">
        <v>245</v>
      </c>
      <c r="R100" s="147" t="s">
        <v>230</v>
      </c>
      <c r="S100" s="147" t="s">
        <v>245</v>
      </c>
      <c r="T100" s="147" t="s">
        <v>245</v>
      </c>
      <c r="U100" s="145" t="s">
        <v>245</v>
      </c>
      <c r="V100" s="147" t="s">
        <v>231</v>
      </c>
      <c r="W100" s="147" t="s">
        <v>245</v>
      </c>
      <c r="X100" s="147" t="s">
        <v>232</v>
      </c>
      <c r="Y100" s="147" t="s">
        <v>233</v>
      </c>
      <c r="Z100" s="147" t="s">
        <v>245</v>
      </c>
      <c r="AA100" s="147" t="s">
        <v>234</v>
      </c>
      <c r="AB100" s="145" t="s">
        <v>245</v>
      </c>
      <c r="AC100" s="147" t="s">
        <v>245</v>
      </c>
      <c r="AD100" s="147" t="s">
        <v>245</v>
      </c>
      <c r="AE100" s="147" t="s">
        <v>235</v>
      </c>
      <c r="AF100" s="147" t="s">
        <v>245</v>
      </c>
      <c r="AG100" s="147" t="s">
        <v>245</v>
      </c>
      <c r="AH100" s="147" t="s">
        <v>245</v>
      </c>
      <c r="AI100" s="147" t="s">
        <v>245</v>
      </c>
      <c r="AJ100" s="147" t="s">
        <v>245</v>
      </c>
      <c r="AK100" s="145" t="s">
        <v>245</v>
      </c>
      <c r="AL100" s="147" t="s">
        <v>245</v>
      </c>
      <c r="AM100" s="147" t="s">
        <v>245</v>
      </c>
      <c r="AN100" s="147" t="s">
        <v>245</v>
      </c>
      <c r="AO100" s="147" t="s">
        <v>245</v>
      </c>
      <c r="AP100" s="147" t="s">
        <v>245</v>
      </c>
      <c r="AQ100" s="147" t="s">
        <v>245</v>
      </c>
      <c r="AR100" s="147" t="s">
        <v>245</v>
      </c>
      <c r="AS100" s="198" t="s">
        <v>236</v>
      </c>
      <c r="AT100" s="147" t="s">
        <v>245</v>
      </c>
      <c r="AU100" s="147" t="s">
        <v>245</v>
      </c>
      <c r="AV100" s="147" t="s">
        <v>245</v>
      </c>
      <c r="AW100" s="147" t="s">
        <v>245</v>
      </c>
      <c r="AX100" s="147" t="s">
        <v>245</v>
      </c>
      <c r="AY100" s="147" t="s">
        <v>245</v>
      </c>
      <c r="AZ100" s="147" t="s">
        <v>245</v>
      </c>
      <c r="BA100" s="147" t="s">
        <v>245</v>
      </c>
      <c r="BB100" s="147" t="s">
        <v>245</v>
      </c>
      <c r="BC100" s="147" t="s">
        <v>245</v>
      </c>
      <c r="BD100" s="147" t="s">
        <v>245</v>
      </c>
      <c r="BE100" s="147" t="s">
        <v>245</v>
      </c>
      <c r="BF100" s="145" t="s">
        <v>245</v>
      </c>
      <c r="BG100" s="199" t="s">
        <v>245</v>
      </c>
      <c r="BH100" s="147" t="s">
        <v>245</v>
      </c>
      <c r="BI100" s="147" t="s">
        <v>245</v>
      </c>
      <c r="BJ100" s="147" t="s">
        <v>245</v>
      </c>
      <c r="BK100" s="147" t="s">
        <v>245</v>
      </c>
      <c r="BL100" s="147" t="s">
        <v>245</v>
      </c>
      <c r="BM100" s="147" t="s">
        <v>245</v>
      </c>
      <c r="BN100" s="147" t="s">
        <v>245</v>
      </c>
      <c r="BO100" s="199" t="s">
        <v>245</v>
      </c>
      <c r="BP100" s="147" t="s">
        <v>245</v>
      </c>
      <c r="BQ100" s="147" t="s">
        <v>245</v>
      </c>
      <c r="BR100" s="145" t="s">
        <v>245</v>
      </c>
      <c r="BS100" s="199" t="s">
        <v>245</v>
      </c>
      <c r="BT100" s="147" t="s">
        <v>245</v>
      </c>
      <c r="BU100" s="147" t="s">
        <v>245</v>
      </c>
      <c r="BV100" s="147" t="s">
        <v>245</v>
      </c>
      <c r="BW100" s="147" t="s">
        <v>245</v>
      </c>
      <c r="BX100" s="147" t="s">
        <v>245</v>
      </c>
      <c r="BY100" s="147" t="s">
        <v>245</v>
      </c>
      <c r="BZ100" s="147" t="s">
        <v>245</v>
      </c>
      <c r="CA100" s="147" t="s">
        <v>245</v>
      </c>
      <c r="CB100" s="145" t="s">
        <v>245</v>
      </c>
      <c r="CC100" s="147" t="s">
        <v>245</v>
      </c>
      <c r="CD100" s="147" t="s">
        <v>245</v>
      </c>
      <c r="CE100" s="147" t="s">
        <v>245</v>
      </c>
      <c r="CF100" s="147" t="s">
        <v>245</v>
      </c>
      <c r="CG100" s="147" t="s">
        <v>245</v>
      </c>
      <c r="CH100" s="147" t="s">
        <v>245</v>
      </c>
      <c r="CI100" s="147" t="s">
        <v>245</v>
      </c>
      <c r="CJ100" s="147" t="s">
        <v>245</v>
      </c>
      <c r="CK100" s="198" t="s">
        <v>245</v>
      </c>
      <c r="CL100" s="163" t="s">
        <v>245</v>
      </c>
    </row>
    <row r="101" spans="1:90">
      <c r="A101" s="93">
        <f>ROWS($A$3:A99)</f>
        <v>97</v>
      </c>
      <c r="B101" s="63" t="s">
        <v>275</v>
      </c>
      <c r="C101" s="243">
        <f>C86</f>
        <v>2007</v>
      </c>
      <c r="D101" s="314" t="s">
        <v>14</v>
      </c>
      <c r="E101" s="316">
        <v>40694</v>
      </c>
      <c r="F101" s="194">
        <v>1676</v>
      </c>
      <c r="G101" s="195">
        <v>517</v>
      </c>
      <c r="H101" s="195">
        <v>795</v>
      </c>
      <c r="I101" s="196">
        <v>1507</v>
      </c>
      <c r="J101" s="348"/>
      <c r="K101" s="197">
        <f t="shared" ref="K101:K107" si="213">BF101</f>
        <v>249</v>
      </c>
      <c r="L101" s="147">
        <f t="shared" ref="L101:L107" si="214">AY101</f>
        <v>45</v>
      </c>
      <c r="M101" s="147">
        <f t="shared" ref="M101:M107" si="215">BD101</f>
        <v>199</v>
      </c>
      <c r="N101" s="147">
        <f t="shared" ref="N101:N107" si="216">AW101</f>
        <v>129</v>
      </c>
      <c r="O101" s="147">
        <f t="shared" ref="O101:O107" si="217">BE101</f>
        <v>184</v>
      </c>
      <c r="P101" s="147">
        <f>'2007'!AZ101+'2007'!BA101</f>
        <v>233</v>
      </c>
      <c r="Q101" s="147">
        <f>'2007'!AU101</f>
        <v>97</v>
      </c>
      <c r="R101" s="147">
        <f t="shared" ref="R101:R107" si="218">AT101+AX101</f>
        <v>113</v>
      </c>
      <c r="S101" s="147">
        <f t="shared" ref="S101:S107" si="219">AV101</f>
        <v>78</v>
      </c>
      <c r="T101" s="147">
        <f t="shared" ref="T101:U107" si="220">BB101</f>
        <v>136</v>
      </c>
      <c r="U101" s="145">
        <f t="shared" si="220"/>
        <v>213</v>
      </c>
      <c r="V101" s="147">
        <f t="shared" ref="V101:V107" si="221">BG101+BJ101</f>
        <v>36</v>
      </c>
      <c r="W101" s="147">
        <f t="shared" ref="W101:W107" si="222">BR101</f>
        <v>27</v>
      </c>
      <c r="X101" s="147">
        <f t="shared" ref="X101:X107" si="223">BH101+BI101</f>
        <v>116</v>
      </c>
      <c r="Y101" s="147">
        <f t="shared" ref="Y101:Y107" si="224">BK101+BL101+BN101</f>
        <v>83</v>
      </c>
      <c r="Z101" s="147">
        <f t="shared" ref="Z101:Z107" si="225">BM101</f>
        <v>200</v>
      </c>
      <c r="AA101" s="147">
        <f t="shared" ref="AA101:AA107" si="226">BO101+BQ101</f>
        <v>32</v>
      </c>
      <c r="AB101" s="145">
        <f t="shared" ref="AB101:AB107" si="227">BP101</f>
        <v>23</v>
      </c>
      <c r="AC101" s="147">
        <f t="shared" ref="AC101:AC107" si="228">BX101</f>
        <v>130</v>
      </c>
      <c r="AD101" s="147">
        <f t="shared" ref="AD101:AD107" si="229">BU101</f>
        <v>34</v>
      </c>
      <c r="AE101" s="147">
        <f t="shared" ref="AE101:AE107" si="230">BS101+BT101</f>
        <v>168</v>
      </c>
      <c r="AF101" s="147">
        <f t="shared" ref="AF101:AF107" si="231">CA101</f>
        <v>44</v>
      </c>
      <c r="AG101" s="147">
        <f t="shared" ref="AG101:AG107" si="232">BV101</f>
        <v>127</v>
      </c>
      <c r="AH101" s="147">
        <f t="shared" ref="AH101:AH107" si="233">BZ101</f>
        <v>55</v>
      </c>
      <c r="AI101" s="147">
        <f t="shared" ref="AI101:AI107" si="234">BW101</f>
        <v>101</v>
      </c>
      <c r="AJ101" s="147">
        <f t="shared" ref="AJ101:AJ107" si="235">BY101</f>
        <v>71</v>
      </c>
      <c r="AK101" s="145">
        <f t="shared" ref="AK101:AK107" si="236">CB101</f>
        <v>66</v>
      </c>
      <c r="AL101" s="147">
        <f t="shared" ref="AL101:AL107" si="237">CE101</f>
        <v>91</v>
      </c>
      <c r="AM101" s="147">
        <f t="shared" ref="AM101:AM107" si="238">CH101</f>
        <v>322</v>
      </c>
      <c r="AN101" s="147">
        <f t="shared" ref="AN101:AN107" si="239">CJ101</f>
        <v>207</v>
      </c>
      <c r="AO101" s="147">
        <f t="shared" ref="AO101:AP107" si="240">CC101</f>
        <v>119</v>
      </c>
      <c r="AP101" s="147">
        <f t="shared" si="240"/>
        <v>86</v>
      </c>
      <c r="AQ101" s="147">
        <f t="shared" ref="AQ101:AQ107" si="241">CK101</f>
        <v>352</v>
      </c>
      <c r="AR101" s="147">
        <f t="shared" ref="AR101:AR107" si="242">CI101</f>
        <v>47</v>
      </c>
      <c r="AS101" s="198">
        <f t="shared" ref="AS101:AS107" si="243">CF101+CG101</f>
        <v>282</v>
      </c>
      <c r="AT101" s="147">
        <v>6</v>
      </c>
      <c r="AU101" s="147">
        <v>97</v>
      </c>
      <c r="AV101" s="147">
        <v>78</v>
      </c>
      <c r="AW101" s="147">
        <v>129</v>
      </c>
      <c r="AX101" s="147">
        <v>107</v>
      </c>
      <c r="AY101" s="147">
        <v>45</v>
      </c>
      <c r="AZ101" s="147">
        <v>18</v>
      </c>
      <c r="BA101" s="147">
        <v>215</v>
      </c>
      <c r="BB101" s="147">
        <v>136</v>
      </c>
      <c r="BC101" s="147">
        <v>213</v>
      </c>
      <c r="BD101" s="147">
        <v>199</v>
      </c>
      <c r="BE101" s="147">
        <v>184</v>
      </c>
      <c r="BF101" s="145">
        <v>249</v>
      </c>
      <c r="BG101" s="199">
        <v>2</v>
      </c>
      <c r="BH101" s="147">
        <v>5</v>
      </c>
      <c r="BI101" s="147">
        <v>111</v>
      </c>
      <c r="BJ101" s="147">
        <v>34</v>
      </c>
      <c r="BK101" s="147">
        <v>1</v>
      </c>
      <c r="BL101" s="147">
        <v>3</v>
      </c>
      <c r="BM101" s="147">
        <v>200</v>
      </c>
      <c r="BN101" s="147">
        <v>79</v>
      </c>
      <c r="BO101" s="199">
        <v>3</v>
      </c>
      <c r="BP101" s="147">
        <v>23</v>
      </c>
      <c r="BQ101" s="147">
        <v>29</v>
      </c>
      <c r="BR101" s="145">
        <v>27</v>
      </c>
      <c r="BS101" s="199">
        <v>7</v>
      </c>
      <c r="BT101" s="147">
        <v>161</v>
      </c>
      <c r="BU101" s="147">
        <v>34</v>
      </c>
      <c r="BV101" s="147">
        <v>127</v>
      </c>
      <c r="BW101" s="147">
        <v>101</v>
      </c>
      <c r="BX101" s="147">
        <v>130</v>
      </c>
      <c r="BY101" s="147">
        <v>71</v>
      </c>
      <c r="BZ101" s="147">
        <v>55</v>
      </c>
      <c r="CA101" s="147">
        <v>44</v>
      </c>
      <c r="CB101" s="145">
        <v>66</v>
      </c>
      <c r="CC101" s="147">
        <v>119</v>
      </c>
      <c r="CD101" s="147">
        <v>86</v>
      </c>
      <c r="CE101" s="147">
        <v>91</v>
      </c>
      <c r="CF101" s="147">
        <v>2</v>
      </c>
      <c r="CG101" s="147">
        <v>280</v>
      </c>
      <c r="CH101" s="147">
        <v>322</v>
      </c>
      <c r="CI101" s="147">
        <v>47</v>
      </c>
      <c r="CJ101" s="147">
        <v>207</v>
      </c>
      <c r="CK101" s="198">
        <v>352</v>
      </c>
      <c r="CL101" s="163">
        <v>4496</v>
      </c>
    </row>
    <row r="102" spans="1:90">
      <c r="A102" s="93">
        <f>ROWS($A$3:A100)</f>
        <v>98</v>
      </c>
      <c r="B102" s="63"/>
      <c r="C102" s="243"/>
      <c r="D102" s="314"/>
      <c r="E102" s="333"/>
      <c r="F102" s="194"/>
      <c r="G102" s="195"/>
      <c r="H102" s="195"/>
      <c r="I102" s="196"/>
      <c r="J102" s="348"/>
      <c r="K102" s="197">
        <f t="shared" si="213"/>
        <v>0</v>
      </c>
      <c r="L102" s="147">
        <f t="shared" si="214"/>
        <v>0</v>
      </c>
      <c r="M102" s="147">
        <f t="shared" si="215"/>
        <v>0</v>
      </c>
      <c r="N102" s="147">
        <f t="shared" si="216"/>
        <v>0</v>
      </c>
      <c r="O102" s="147">
        <f t="shared" si="217"/>
        <v>0</v>
      </c>
      <c r="P102" s="147">
        <f>'2007'!AZ102+'2007'!BA102</f>
        <v>0</v>
      </c>
      <c r="Q102" s="147">
        <f>'2007'!AU102</f>
        <v>0</v>
      </c>
      <c r="R102" s="147">
        <f t="shared" si="218"/>
        <v>0</v>
      </c>
      <c r="S102" s="147">
        <f t="shared" si="219"/>
        <v>0</v>
      </c>
      <c r="T102" s="147">
        <f t="shared" si="220"/>
        <v>0</v>
      </c>
      <c r="U102" s="145">
        <f t="shared" si="220"/>
        <v>0</v>
      </c>
      <c r="V102" s="147">
        <f t="shared" si="221"/>
        <v>0</v>
      </c>
      <c r="W102" s="147">
        <f t="shared" si="222"/>
        <v>0</v>
      </c>
      <c r="X102" s="147">
        <f t="shared" si="223"/>
        <v>0</v>
      </c>
      <c r="Y102" s="147">
        <f t="shared" si="224"/>
        <v>0</v>
      </c>
      <c r="Z102" s="147">
        <f t="shared" si="225"/>
        <v>0</v>
      </c>
      <c r="AA102" s="147">
        <f t="shared" si="226"/>
        <v>0</v>
      </c>
      <c r="AB102" s="145">
        <f t="shared" si="227"/>
        <v>0</v>
      </c>
      <c r="AC102" s="147">
        <f t="shared" si="228"/>
        <v>0</v>
      </c>
      <c r="AD102" s="147">
        <f t="shared" si="229"/>
        <v>0</v>
      </c>
      <c r="AE102" s="147">
        <f t="shared" si="230"/>
        <v>0</v>
      </c>
      <c r="AF102" s="147">
        <f t="shared" si="231"/>
        <v>0</v>
      </c>
      <c r="AG102" s="147">
        <f t="shared" si="232"/>
        <v>0</v>
      </c>
      <c r="AH102" s="147">
        <f t="shared" si="233"/>
        <v>0</v>
      </c>
      <c r="AI102" s="147">
        <f t="shared" si="234"/>
        <v>0</v>
      </c>
      <c r="AJ102" s="147">
        <f t="shared" si="235"/>
        <v>0</v>
      </c>
      <c r="AK102" s="145">
        <f t="shared" si="236"/>
        <v>0</v>
      </c>
      <c r="AL102" s="147">
        <f t="shared" si="237"/>
        <v>0</v>
      </c>
      <c r="AM102" s="147">
        <f t="shared" si="238"/>
        <v>0</v>
      </c>
      <c r="AN102" s="147">
        <f t="shared" si="239"/>
        <v>0</v>
      </c>
      <c r="AO102" s="147">
        <f t="shared" si="240"/>
        <v>0</v>
      </c>
      <c r="AP102" s="147">
        <f t="shared" si="240"/>
        <v>0</v>
      </c>
      <c r="AQ102" s="147">
        <f t="shared" si="241"/>
        <v>0</v>
      </c>
      <c r="AR102" s="147">
        <f t="shared" si="242"/>
        <v>0</v>
      </c>
      <c r="AS102" s="198">
        <f t="shared" si="243"/>
        <v>0</v>
      </c>
      <c r="AT102" s="147">
        <v>0</v>
      </c>
      <c r="AU102" s="147"/>
      <c r="AV102" s="147"/>
      <c r="AW102" s="147"/>
      <c r="AX102" s="147"/>
      <c r="AY102" s="147"/>
      <c r="AZ102" s="147"/>
      <c r="BA102" s="147"/>
      <c r="BB102" s="147"/>
      <c r="BC102" s="147"/>
      <c r="BD102" s="147"/>
      <c r="BE102" s="147"/>
      <c r="BF102" s="145"/>
      <c r="BG102" s="199"/>
      <c r="BH102" s="147"/>
      <c r="BI102" s="147"/>
      <c r="BJ102" s="147"/>
      <c r="BK102" s="147"/>
      <c r="BL102" s="147"/>
      <c r="BM102" s="147"/>
      <c r="BN102" s="147"/>
      <c r="BO102" s="199"/>
      <c r="BP102" s="147"/>
      <c r="BQ102" s="147"/>
      <c r="BR102" s="145"/>
      <c r="BS102" s="199"/>
      <c r="BT102" s="147"/>
      <c r="BU102" s="147"/>
      <c r="BV102" s="147"/>
      <c r="BW102" s="147"/>
      <c r="BX102" s="147"/>
      <c r="BY102" s="147"/>
      <c r="BZ102" s="147"/>
      <c r="CA102" s="147"/>
      <c r="CB102" s="145"/>
      <c r="CC102" s="147"/>
      <c r="CD102" s="147"/>
      <c r="CE102" s="147"/>
      <c r="CF102" s="147"/>
      <c r="CG102" s="147"/>
      <c r="CH102" s="147"/>
      <c r="CI102" s="147"/>
      <c r="CJ102" s="147"/>
      <c r="CK102" s="198"/>
      <c r="CL102" s="163"/>
    </row>
    <row r="103" spans="1:90">
      <c r="A103" s="93">
        <f>ROWS($A$3:A101)</f>
        <v>99</v>
      </c>
      <c r="B103" s="63"/>
      <c r="C103" s="243"/>
      <c r="D103" s="314"/>
      <c r="E103" s="333"/>
      <c r="F103" s="194"/>
      <c r="G103" s="195"/>
      <c r="H103" s="195"/>
      <c r="I103" s="196"/>
      <c r="J103" s="348"/>
      <c r="K103" s="197">
        <f t="shared" si="213"/>
        <v>0</v>
      </c>
      <c r="L103" s="147">
        <f t="shared" si="214"/>
        <v>0</v>
      </c>
      <c r="M103" s="147">
        <f t="shared" si="215"/>
        <v>0</v>
      </c>
      <c r="N103" s="147">
        <f t="shared" si="216"/>
        <v>0</v>
      </c>
      <c r="O103" s="147">
        <f t="shared" si="217"/>
        <v>0</v>
      </c>
      <c r="P103" s="147">
        <f>'2007'!AZ103+'2007'!BA103</f>
        <v>0</v>
      </c>
      <c r="Q103" s="147">
        <f>'2007'!AU103</f>
        <v>0</v>
      </c>
      <c r="R103" s="147">
        <f t="shared" si="218"/>
        <v>0</v>
      </c>
      <c r="S103" s="147">
        <f t="shared" si="219"/>
        <v>0</v>
      </c>
      <c r="T103" s="147">
        <f t="shared" si="220"/>
        <v>0</v>
      </c>
      <c r="U103" s="145">
        <f t="shared" si="220"/>
        <v>0</v>
      </c>
      <c r="V103" s="147">
        <f t="shared" si="221"/>
        <v>0</v>
      </c>
      <c r="W103" s="147">
        <f t="shared" si="222"/>
        <v>0</v>
      </c>
      <c r="X103" s="147">
        <f t="shared" si="223"/>
        <v>0</v>
      </c>
      <c r="Y103" s="147">
        <f t="shared" si="224"/>
        <v>0</v>
      </c>
      <c r="Z103" s="147">
        <f t="shared" si="225"/>
        <v>0</v>
      </c>
      <c r="AA103" s="147">
        <f t="shared" si="226"/>
        <v>0</v>
      </c>
      <c r="AB103" s="145">
        <f t="shared" si="227"/>
        <v>0</v>
      </c>
      <c r="AC103" s="147">
        <f t="shared" si="228"/>
        <v>0</v>
      </c>
      <c r="AD103" s="147">
        <f t="shared" si="229"/>
        <v>0</v>
      </c>
      <c r="AE103" s="147">
        <f t="shared" si="230"/>
        <v>0</v>
      </c>
      <c r="AF103" s="147">
        <f t="shared" si="231"/>
        <v>0</v>
      </c>
      <c r="AG103" s="147">
        <f t="shared" si="232"/>
        <v>0</v>
      </c>
      <c r="AH103" s="147">
        <f t="shared" si="233"/>
        <v>0</v>
      </c>
      <c r="AI103" s="147">
        <f t="shared" si="234"/>
        <v>0</v>
      </c>
      <c r="AJ103" s="147">
        <f t="shared" si="235"/>
        <v>0</v>
      </c>
      <c r="AK103" s="145">
        <f t="shared" si="236"/>
        <v>0</v>
      </c>
      <c r="AL103" s="147">
        <f t="shared" si="237"/>
        <v>0</v>
      </c>
      <c r="AM103" s="147">
        <f t="shared" si="238"/>
        <v>0</v>
      </c>
      <c r="AN103" s="147">
        <f t="shared" si="239"/>
        <v>0</v>
      </c>
      <c r="AO103" s="147">
        <f t="shared" si="240"/>
        <v>0</v>
      </c>
      <c r="AP103" s="147">
        <f t="shared" si="240"/>
        <v>0</v>
      </c>
      <c r="AQ103" s="147">
        <f t="shared" si="241"/>
        <v>0</v>
      </c>
      <c r="AR103" s="147">
        <f t="shared" si="242"/>
        <v>0</v>
      </c>
      <c r="AS103" s="198">
        <f t="shared" si="243"/>
        <v>0</v>
      </c>
      <c r="AT103" s="147">
        <v>0</v>
      </c>
      <c r="AU103" s="147"/>
      <c r="AV103" s="147"/>
      <c r="AW103" s="147"/>
      <c r="AX103" s="147"/>
      <c r="AY103" s="147"/>
      <c r="AZ103" s="147"/>
      <c r="BA103" s="147"/>
      <c r="BB103" s="147"/>
      <c r="BC103" s="147"/>
      <c r="BD103" s="147"/>
      <c r="BE103" s="147"/>
      <c r="BF103" s="145"/>
      <c r="BG103" s="199"/>
      <c r="BH103" s="147"/>
      <c r="BI103" s="147"/>
      <c r="BJ103" s="147"/>
      <c r="BK103" s="147"/>
      <c r="BL103" s="147"/>
      <c r="BM103" s="147"/>
      <c r="BN103" s="147"/>
      <c r="BO103" s="199"/>
      <c r="BP103" s="147"/>
      <c r="BQ103" s="147"/>
      <c r="BR103" s="145"/>
      <c r="BS103" s="199"/>
      <c r="BT103" s="147"/>
      <c r="BU103" s="147"/>
      <c r="BV103" s="147"/>
      <c r="BW103" s="147"/>
      <c r="BX103" s="147"/>
      <c r="BY103" s="147"/>
      <c r="BZ103" s="147"/>
      <c r="CA103" s="147"/>
      <c r="CB103" s="145"/>
      <c r="CC103" s="147"/>
      <c r="CD103" s="147"/>
      <c r="CE103" s="147"/>
      <c r="CF103" s="147"/>
      <c r="CG103" s="311"/>
      <c r="CH103" s="147"/>
      <c r="CI103" s="147"/>
      <c r="CJ103" s="147"/>
      <c r="CK103" s="198"/>
      <c r="CL103" s="163"/>
    </row>
    <row r="104" spans="1:90">
      <c r="A104" s="93">
        <f>ROWS($A$3:A102)</f>
        <v>100</v>
      </c>
      <c r="B104" s="63"/>
      <c r="C104" s="243"/>
      <c r="D104" s="314"/>
      <c r="E104" s="333"/>
      <c r="F104" s="194"/>
      <c r="G104" s="195"/>
      <c r="H104" s="195"/>
      <c r="I104" s="196"/>
      <c r="J104" s="348"/>
      <c r="K104" s="197">
        <f t="shared" si="213"/>
        <v>0</v>
      </c>
      <c r="L104" s="147">
        <f t="shared" si="214"/>
        <v>0</v>
      </c>
      <c r="M104" s="147">
        <f t="shared" si="215"/>
        <v>0</v>
      </c>
      <c r="N104" s="147">
        <f t="shared" si="216"/>
        <v>0</v>
      </c>
      <c r="O104" s="147">
        <f t="shared" si="217"/>
        <v>0</v>
      </c>
      <c r="P104" s="147">
        <f>'2007'!AZ104+'2007'!BA104</f>
        <v>0</v>
      </c>
      <c r="Q104" s="147">
        <f>'2007'!AU104</f>
        <v>0</v>
      </c>
      <c r="R104" s="147">
        <f t="shared" si="218"/>
        <v>0</v>
      </c>
      <c r="S104" s="147">
        <f t="shared" si="219"/>
        <v>0</v>
      </c>
      <c r="T104" s="147">
        <f t="shared" si="220"/>
        <v>0</v>
      </c>
      <c r="U104" s="145">
        <f t="shared" si="220"/>
        <v>0</v>
      </c>
      <c r="V104" s="147">
        <f t="shared" si="221"/>
        <v>0</v>
      </c>
      <c r="W104" s="147">
        <f t="shared" si="222"/>
        <v>0</v>
      </c>
      <c r="X104" s="147">
        <f t="shared" si="223"/>
        <v>0</v>
      </c>
      <c r="Y104" s="147">
        <f t="shared" si="224"/>
        <v>0</v>
      </c>
      <c r="Z104" s="147">
        <f t="shared" si="225"/>
        <v>0</v>
      </c>
      <c r="AA104" s="147">
        <f t="shared" si="226"/>
        <v>0</v>
      </c>
      <c r="AB104" s="145">
        <f t="shared" si="227"/>
        <v>0</v>
      </c>
      <c r="AC104" s="147">
        <f t="shared" si="228"/>
        <v>0</v>
      </c>
      <c r="AD104" s="147">
        <f t="shared" si="229"/>
        <v>0</v>
      </c>
      <c r="AE104" s="147">
        <f t="shared" si="230"/>
        <v>0</v>
      </c>
      <c r="AF104" s="147">
        <f t="shared" si="231"/>
        <v>0</v>
      </c>
      <c r="AG104" s="147">
        <f t="shared" si="232"/>
        <v>0</v>
      </c>
      <c r="AH104" s="147">
        <f t="shared" si="233"/>
        <v>0</v>
      </c>
      <c r="AI104" s="147">
        <f t="shared" si="234"/>
        <v>0</v>
      </c>
      <c r="AJ104" s="147">
        <f t="shared" si="235"/>
        <v>0</v>
      </c>
      <c r="AK104" s="145">
        <f t="shared" si="236"/>
        <v>0</v>
      </c>
      <c r="AL104" s="147">
        <f t="shared" si="237"/>
        <v>0</v>
      </c>
      <c r="AM104" s="147">
        <f t="shared" si="238"/>
        <v>0</v>
      </c>
      <c r="AN104" s="147">
        <f t="shared" si="239"/>
        <v>0</v>
      </c>
      <c r="AO104" s="147">
        <f t="shared" si="240"/>
        <v>0</v>
      </c>
      <c r="AP104" s="147">
        <f t="shared" si="240"/>
        <v>0</v>
      </c>
      <c r="AQ104" s="147">
        <f t="shared" si="241"/>
        <v>0</v>
      </c>
      <c r="AR104" s="147">
        <f t="shared" si="242"/>
        <v>0</v>
      </c>
      <c r="AS104" s="198">
        <f t="shared" si="243"/>
        <v>0</v>
      </c>
      <c r="AT104" s="147">
        <v>0</v>
      </c>
      <c r="AU104" s="147"/>
      <c r="AV104" s="147"/>
      <c r="AW104" s="147"/>
      <c r="AX104" s="147"/>
      <c r="AY104" s="147"/>
      <c r="AZ104" s="147"/>
      <c r="BA104" s="147"/>
      <c r="BB104" s="147"/>
      <c r="BC104" s="147"/>
      <c r="BD104" s="147"/>
      <c r="BE104" s="147"/>
      <c r="BF104" s="145"/>
      <c r="BG104" s="199"/>
      <c r="BH104" s="147"/>
      <c r="BI104" s="147"/>
      <c r="BJ104" s="147"/>
      <c r="BK104" s="147"/>
      <c r="BL104" s="147"/>
      <c r="BM104" s="147"/>
      <c r="BN104" s="147"/>
      <c r="BO104" s="199"/>
      <c r="BP104" s="147"/>
      <c r="BQ104" s="147"/>
      <c r="BR104" s="145"/>
      <c r="BS104" s="199"/>
      <c r="BT104" s="147"/>
      <c r="BU104" s="147"/>
      <c r="BV104" s="147"/>
      <c r="BW104" s="147"/>
      <c r="BX104" s="147"/>
      <c r="BY104" s="147"/>
      <c r="BZ104" s="147"/>
      <c r="CA104" s="147"/>
      <c r="CB104" s="145"/>
      <c r="CC104" s="147"/>
      <c r="CD104" s="147"/>
      <c r="CE104" s="147"/>
      <c r="CF104" s="147"/>
      <c r="CG104" s="147"/>
      <c r="CH104" s="147"/>
      <c r="CI104" s="147"/>
      <c r="CJ104" s="147"/>
      <c r="CK104" s="198"/>
      <c r="CL104" s="163"/>
    </row>
    <row r="105" spans="1:90">
      <c r="A105" s="93">
        <f>ROWS($A$3:A103)</f>
        <v>101</v>
      </c>
      <c r="B105" s="63"/>
      <c r="C105" s="243"/>
      <c r="D105" s="314"/>
      <c r="E105" s="333"/>
      <c r="F105" s="194"/>
      <c r="G105" s="195"/>
      <c r="H105" s="195"/>
      <c r="I105" s="196"/>
      <c r="J105" s="348"/>
      <c r="K105" s="197">
        <f t="shared" si="213"/>
        <v>0</v>
      </c>
      <c r="L105" s="147">
        <f t="shared" si="214"/>
        <v>0</v>
      </c>
      <c r="M105" s="147">
        <f t="shared" si="215"/>
        <v>0</v>
      </c>
      <c r="N105" s="147">
        <f t="shared" si="216"/>
        <v>0</v>
      </c>
      <c r="O105" s="147">
        <f t="shared" si="217"/>
        <v>0</v>
      </c>
      <c r="P105" s="147">
        <f>'2007'!AZ105+'2007'!BA105</f>
        <v>0</v>
      </c>
      <c r="Q105" s="147">
        <f>'2007'!AU105</f>
        <v>0</v>
      </c>
      <c r="R105" s="147">
        <f t="shared" si="218"/>
        <v>0</v>
      </c>
      <c r="S105" s="147">
        <f t="shared" si="219"/>
        <v>0</v>
      </c>
      <c r="T105" s="147">
        <f t="shared" si="220"/>
        <v>0</v>
      </c>
      <c r="U105" s="145">
        <f t="shared" si="220"/>
        <v>0</v>
      </c>
      <c r="V105" s="147">
        <f t="shared" si="221"/>
        <v>0</v>
      </c>
      <c r="W105" s="147">
        <f t="shared" si="222"/>
        <v>0</v>
      </c>
      <c r="X105" s="147">
        <f t="shared" si="223"/>
        <v>0</v>
      </c>
      <c r="Y105" s="147">
        <f t="shared" si="224"/>
        <v>0</v>
      </c>
      <c r="Z105" s="147">
        <f t="shared" si="225"/>
        <v>0</v>
      </c>
      <c r="AA105" s="147">
        <f t="shared" si="226"/>
        <v>0</v>
      </c>
      <c r="AB105" s="145">
        <f t="shared" si="227"/>
        <v>0</v>
      </c>
      <c r="AC105" s="147">
        <f t="shared" si="228"/>
        <v>0</v>
      </c>
      <c r="AD105" s="147">
        <f t="shared" si="229"/>
        <v>0</v>
      </c>
      <c r="AE105" s="147">
        <f t="shared" si="230"/>
        <v>0</v>
      </c>
      <c r="AF105" s="147">
        <f t="shared" si="231"/>
        <v>0</v>
      </c>
      <c r="AG105" s="147">
        <f t="shared" si="232"/>
        <v>0</v>
      </c>
      <c r="AH105" s="147">
        <f t="shared" si="233"/>
        <v>0</v>
      </c>
      <c r="AI105" s="147">
        <f t="shared" si="234"/>
        <v>0</v>
      </c>
      <c r="AJ105" s="147">
        <f t="shared" si="235"/>
        <v>0</v>
      </c>
      <c r="AK105" s="145">
        <f t="shared" si="236"/>
        <v>0</v>
      </c>
      <c r="AL105" s="147">
        <f t="shared" si="237"/>
        <v>0</v>
      </c>
      <c r="AM105" s="147">
        <f t="shared" si="238"/>
        <v>0</v>
      </c>
      <c r="AN105" s="147">
        <f t="shared" si="239"/>
        <v>0</v>
      </c>
      <c r="AO105" s="147">
        <f t="shared" si="240"/>
        <v>0</v>
      </c>
      <c r="AP105" s="147">
        <f t="shared" si="240"/>
        <v>0</v>
      </c>
      <c r="AQ105" s="147">
        <f t="shared" si="241"/>
        <v>0</v>
      </c>
      <c r="AR105" s="147">
        <f t="shared" si="242"/>
        <v>0</v>
      </c>
      <c r="AS105" s="198">
        <f t="shared" si="243"/>
        <v>0</v>
      </c>
      <c r="AT105" s="147">
        <v>0</v>
      </c>
      <c r="AU105" s="147"/>
      <c r="AV105" s="147"/>
      <c r="AW105" s="147"/>
      <c r="AX105" s="147"/>
      <c r="AY105" s="147"/>
      <c r="AZ105" s="147"/>
      <c r="BA105" s="147"/>
      <c r="BB105" s="147"/>
      <c r="BC105" s="147"/>
      <c r="BD105" s="147"/>
      <c r="BE105" s="147"/>
      <c r="BF105" s="145"/>
      <c r="BG105" s="199"/>
      <c r="BH105" s="147"/>
      <c r="BI105" s="147"/>
      <c r="BJ105" s="147"/>
      <c r="BK105" s="147"/>
      <c r="BL105" s="147"/>
      <c r="BM105" s="147"/>
      <c r="BN105" s="147"/>
      <c r="BO105" s="199"/>
      <c r="BP105" s="147"/>
      <c r="BQ105" s="147"/>
      <c r="BR105" s="145"/>
      <c r="BS105" s="199"/>
      <c r="BT105" s="147"/>
      <c r="BU105" s="147"/>
      <c r="BV105" s="147"/>
      <c r="BW105" s="147"/>
      <c r="BX105" s="147"/>
      <c r="BY105" s="147"/>
      <c r="BZ105" s="147"/>
      <c r="CA105" s="147"/>
      <c r="CB105" s="145"/>
      <c r="CC105" s="147"/>
      <c r="CD105" s="147"/>
      <c r="CE105" s="147"/>
      <c r="CF105" s="147"/>
      <c r="CG105" s="147"/>
      <c r="CH105" s="147"/>
      <c r="CI105" s="147"/>
      <c r="CJ105" s="147"/>
      <c r="CK105" s="198"/>
      <c r="CL105" s="163"/>
    </row>
    <row r="106" spans="1:90">
      <c r="A106" s="93">
        <f>ROWS($A$3:A104)</f>
        <v>102</v>
      </c>
      <c r="B106" s="63"/>
      <c r="C106" s="243"/>
      <c r="D106" s="314"/>
      <c r="E106" s="333"/>
      <c r="F106" s="194"/>
      <c r="G106" s="195"/>
      <c r="H106" s="195"/>
      <c r="I106" s="196"/>
      <c r="J106" s="195"/>
      <c r="K106" s="197">
        <f t="shared" si="213"/>
        <v>0</v>
      </c>
      <c r="L106" s="147">
        <f t="shared" si="214"/>
        <v>0</v>
      </c>
      <c r="M106" s="147">
        <f t="shared" si="215"/>
        <v>0</v>
      </c>
      <c r="N106" s="147">
        <f t="shared" si="216"/>
        <v>0</v>
      </c>
      <c r="O106" s="147">
        <f t="shared" si="217"/>
        <v>0</v>
      </c>
      <c r="P106" s="147">
        <f>'2007'!AZ106+'2007'!BA106</f>
        <v>0</v>
      </c>
      <c r="Q106" s="147">
        <f>'2007'!AU106</f>
        <v>0</v>
      </c>
      <c r="R106" s="147">
        <f t="shared" si="218"/>
        <v>0</v>
      </c>
      <c r="S106" s="147">
        <f t="shared" si="219"/>
        <v>0</v>
      </c>
      <c r="T106" s="147">
        <f t="shared" si="220"/>
        <v>0</v>
      </c>
      <c r="U106" s="145">
        <f t="shared" si="220"/>
        <v>0</v>
      </c>
      <c r="V106" s="147">
        <f t="shared" si="221"/>
        <v>0</v>
      </c>
      <c r="W106" s="147">
        <f t="shared" si="222"/>
        <v>0</v>
      </c>
      <c r="X106" s="147">
        <f t="shared" si="223"/>
        <v>0</v>
      </c>
      <c r="Y106" s="147">
        <f t="shared" si="224"/>
        <v>0</v>
      </c>
      <c r="Z106" s="147">
        <f t="shared" si="225"/>
        <v>0</v>
      </c>
      <c r="AA106" s="147">
        <f t="shared" si="226"/>
        <v>0</v>
      </c>
      <c r="AB106" s="145">
        <f t="shared" si="227"/>
        <v>0</v>
      </c>
      <c r="AC106" s="147">
        <f t="shared" si="228"/>
        <v>0</v>
      </c>
      <c r="AD106" s="147">
        <f t="shared" si="229"/>
        <v>0</v>
      </c>
      <c r="AE106" s="147">
        <f t="shared" si="230"/>
        <v>0</v>
      </c>
      <c r="AF106" s="147">
        <f t="shared" si="231"/>
        <v>0</v>
      </c>
      <c r="AG106" s="147">
        <f t="shared" si="232"/>
        <v>0</v>
      </c>
      <c r="AH106" s="147">
        <f t="shared" si="233"/>
        <v>0</v>
      </c>
      <c r="AI106" s="147">
        <f t="shared" si="234"/>
        <v>0</v>
      </c>
      <c r="AJ106" s="147">
        <f t="shared" si="235"/>
        <v>0</v>
      </c>
      <c r="AK106" s="145">
        <f t="shared" si="236"/>
        <v>0</v>
      </c>
      <c r="AL106" s="147">
        <f t="shared" si="237"/>
        <v>0</v>
      </c>
      <c r="AM106" s="147">
        <f t="shared" si="238"/>
        <v>0</v>
      </c>
      <c r="AN106" s="147">
        <f t="shared" si="239"/>
        <v>0</v>
      </c>
      <c r="AO106" s="147">
        <f t="shared" si="240"/>
        <v>0</v>
      </c>
      <c r="AP106" s="147">
        <f t="shared" si="240"/>
        <v>0</v>
      </c>
      <c r="AQ106" s="147">
        <f t="shared" si="241"/>
        <v>0</v>
      </c>
      <c r="AR106" s="147">
        <f t="shared" si="242"/>
        <v>0</v>
      </c>
      <c r="AS106" s="198">
        <f t="shared" si="243"/>
        <v>0</v>
      </c>
      <c r="AT106" s="147">
        <v>0</v>
      </c>
      <c r="AU106" s="147"/>
      <c r="AV106" s="147"/>
      <c r="AW106" s="147"/>
      <c r="AX106" s="147"/>
      <c r="AY106" s="147"/>
      <c r="AZ106" s="147"/>
      <c r="BA106" s="147"/>
      <c r="BB106" s="147"/>
      <c r="BC106" s="147"/>
      <c r="BD106" s="147"/>
      <c r="BE106" s="147"/>
      <c r="BF106" s="145"/>
      <c r="BG106" s="199"/>
      <c r="BH106" s="147"/>
      <c r="BI106" s="147"/>
      <c r="BJ106" s="147"/>
      <c r="BK106" s="147"/>
      <c r="BL106" s="147"/>
      <c r="BM106" s="147"/>
      <c r="BN106" s="147"/>
      <c r="BO106" s="199"/>
      <c r="BP106" s="147"/>
      <c r="BQ106" s="147"/>
      <c r="BR106" s="145"/>
      <c r="BS106" s="199"/>
      <c r="BT106" s="147"/>
      <c r="BU106" s="147"/>
      <c r="BV106" s="147"/>
      <c r="BW106" s="147"/>
      <c r="BX106" s="147"/>
      <c r="BY106" s="147"/>
      <c r="BZ106" s="147"/>
      <c r="CA106" s="147"/>
      <c r="CB106" s="145"/>
      <c r="CC106" s="147"/>
      <c r="CD106" s="147"/>
      <c r="CE106" s="147"/>
      <c r="CF106" s="147"/>
      <c r="CG106" s="147"/>
      <c r="CH106" s="147"/>
      <c r="CI106" s="147"/>
      <c r="CJ106" s="147"/>
      <c r="CK106" s="198"/>
      <c r="CL106" s="163"/>
    </row>
    <row r="107" spans="1:90" ht="13.5" thickBot="1">
      <c r="A107" s="93">
        <f>ROWS($A$3:A105)</f>
        <v>103</v>
      </c>
      <c r="B107" s="64"/>
      <c r="C107" s="246"/>
      <c r="D107" s="338"/>
      <c r="E107" s="339"/>
      <c r="F107" s="200"/>
      <c r="G107" s="201"/>
      <c r="H107" s="201"/>
      <c r="I107" s="202"/>
      <c r="J107" s="201"/>
      <c r="K107" s="203">
        <f t="shared" si="213"/>
        <v>0</v>
      </c>
      <c r="L107" s="204">
        <f t="shared" si="214"/>
        <v>0</v>
      </c>
      <c r="M107" s="204">
        <f t="shared" si="215"/>
        <v>0</v>
      </c>
      <c r="N107" s="204">
        <f t="shared" si="216"/>
        <v>0</v>
      </c>
      <c r="O107" s="204">
        <f t="shared" si="217"/>
        <v>0</v>
      </c>
      <c r="P107" s="204">
        <f>'2007'!AZ107+'2007'!BA107</f>
        <v>0</v>
      </c>
      <c r="Q107" s="204">
        <f>'2007'!AU107</f>
        <v>0</v>
      </c>
      <c r="R107" s="204">
        <f t="shared" si="218"/>
        <v>0</v>
      </c>
      <c r="S107" s="204">
        <f t="shared" si="219"/>
        <v>0</v>
      </c>
      <c r="T107" s="204">
        <f t="shared" si="220"/>
        <v>0</v>
      </c>
      <c r="U107" s="149">
        <f t="shared" si="220"/>
        <v>0</v>
      </c>
      <c r="V107" s="204">
        <f t="shared" si="221"/>
        <v>0</v>
      </c>
      <c r="W107" s="204">
        <f t="shared" si="222"/>
        <v>0</v>
      </c>
      <c r="X107" s="204">
        <f t="shared" si="223"/>
        <v>0</v>
      </c>
      <c r="Y107" s="204">
        <f t="shared" si="224"/>
        <v>0</v>
      </c>
      <c r="Z107" s="204">
        <f t="shared" si="225"/>
        <v>0</v>
      </c>
      <c r="AA107" s="204">
        <f t="shared" si="226"/>
        <v>0</v>
      </c>
      <c r="AB107" s="149">
        <f t="shared" si="227"/>
        <v>0</v>
      </c>
      <c r="AC107" s="204">
        <f t="shared" si="228"/>
        <v>0</v>
      </c>
      <c r="AD107" s="204">
        <f t="shared" si="229"/>
        <v>0</v>
      </c>
      <c r="AE107" s="204">
        <f t="shared" si="230"/>
        <v>0</v>
      </c>
      <c r="AF107" s="204">
        <f t="shared" si="231"/>
        <v>0</v>
      </c>
      <c r="AG107" s="204">
        <f t="shared" si="232"/>
        <v>0</v>
      </c>
      <c r="AH107" s="204">
        <f t="shared" si="233"/>
        <v>0</v>
      </c>
      <c r="AI107" s="204">
        <f t="shared" si="234"/>
        <v>0</v>
      </c>
      <c r="AJ107" s="204">
        <f t="shared" si="235"/>
        <v>0</v>
      </c>
      <c r="AK107" s="149">
        <f t="shared" si="236"/>
        <v>0</v>
      </c>
      <c r="AL107" s="204">
        <f t="shared" si="237"/>
        <v>0</v>
      </c>
      <c r="AM107" s="204">
        <f t="shared" si="238"/>
        <v>0</v>
      </c>
      <c r="AN107" s="204">
        <f t="shared" si="239"/>
        <v>0</v>
      </c>
      <c r="AO107" s="204">
        <f t="shared" si="240"/>
        <v>0</v>
      </c>
      <c r="AP107" s="204">
        <f t="shared" si="240"/>
        <v>0</v>
      </c>
      <c r="AQ107" s="204">
        <f t="shared" si="241"/>
        <v>0</v>
      </c>
      <c r="AR107" s="204">
        <f t="shared" si="242"/>
        <v>0</v>
      </c>
      <c r="AS107" s="205">
        <f t="shared" si="243"/>
        <v>0</v>
      </c>
      <c r="AT107" s="204">
        <v>0</v>
      </c>
      <c r="AU107" s="204"/>
      <c r="AV107" s="204"/>
      <c r="AW107" s="204"/>
      <c r="AX107" s="204"/>
      <c r="AY107" s="204"/>
      <c r="AZ107" s="204"/>
      <c r="BA107" s="204"/>
      <c r="BB107" s="204"/>
      <c r="BC107" s="204"/>
      <c r="BD107" s="204"/>
      <c r="BE107" s="204"/>
      <c r="BF107" s="149"/>
      <c r="BG107" s="206"/>
      <c r="BH107" s="204"/>
      <c r="BI107" s="204"/>
      <c r="BJ107" s="204"/>
      <c r="BK107" s="204"/>
      <c r="BL107" s="204"/>
      <c r="BM107" s="204"/>
      <c r="BN107" s="204"/>
      <c r="BO107" s="206"/>
      <c r="BP107" s="204"/>
      <c r="BQ107" s="204"/>
      <c r="BR107" s="149"/>
      <c r="BS107" s="206"/>
      <c r="BT107" s="204"/>
      <c r="BU107" s="204"/>
      <c r="BV107" s="204"/>
      <c r="BW107" s="204"/>
      <c r="BX107" s="204"/>
      <c r="BY107" s="204"/>
      <c r="BZ107" s="204"/>
      <c r="CA107" s="204"/>
      <c r="CB107" s="149"/>
      <c r="CC107" s="204"/>
      <c r="CD107" s="204"/>
      <c r="CE107" s="204"/>
      <c r="CF107" s="204"/>
      <c r="CG107" s="204"/>
      <c r="CH107" s="204"/>
      <c r="CI107" s="204"/>
      <c r="CJ107" s="204"/>
      <c r="CK107" s="205"/>
      <c r="CL107" s="164"/>
    </row>
    <row r="108" spans="1:90">
      <c r="B108" s="65"/>
      <c r="C108" s="243"/>
      <c r="D108" s="55"/>
      <c r="E108" s="80"/>
      <c r="F108" s="195"/>
      <c r="G108" s="195"/>
      <c r="H108" s="195"/>
      <c r="I108" s="195"/>
      <c r="J108" s="195"/>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99"/>
      <c r="BH108" s="147"/>
      <c r="BI108" s="147"/>
      <c r="BJ108" s="147"/>
      <c r="BK108" s="147"/>
      <c r="BL108" s="147"/>
      <c r="BM108" s="147"/>
      <c r="BN108" s="147"/>
      <c r="BO108" s="199"/>
      <c r="BP108" s="147"/>
      <c r="BQ108" s="147"/>
      <c r="BR108" s="147"/>
      <c r="BS108" s="199"/>
      <c r="BT108" s="147"/>
      <c r="BU108" s="147"/>
      <c r="BV108" s="147"/>
      <c r="BW108" s="147"/>
      <c r="BX108" s="147"/>
      <c r="BY108" s="147"/>
      <c r="BZ108" s="147"/>
      <c r="CA108" s="147"/>
      <c r="CB108" s="147"/>
      <c r="CC108" s="147"/>
      <c r="CD108" s="147"/>
      <c r="CE108" s="147"/>
      <c r="CF108" s="147"/>
      <c r="CG108" s="147"/>
      <c r="CH108" s="147"/>
      <c r="CI108" s="147"/>
      <c r="CJ108" s="147"/>
      <c r="CK108" s="147"/>
      <c r="CL108" s="165"/>
    </row>
    <row r="109" spans="1:90">
      <c r="B109" s="83" t="s">
        <v>225</v>
      </c>
    </row>
    <row r="110" spans="1:90">
      <c r="B110" s="85" t="s">
        <v>220</v>
      </c>
    </row>
    <row r="111" spans="1:90">
      <c r="B111" s="85" t="s">
        <v>221</v>
      </c>
    </row>
    <row r="112" spans="1:90">
      <c r="B112" s="85" t="s">
        <v>222</v>
      </c>
    </row>
    <row r="113" spans="1:90">
      <c r="B113" s="84"/>
    </row>
    <row r="114" spans="1:90">
      <c r="B114" s="85" t="s">
        <v>83</v>
      </c>
    </row>
    <row r="115" spans="1:90">
      <c r="B115" s="85" t="s">
        <v>223</v>
      </c>
    </row>
    <row r="116" spans="1:90">
      <c r="B116" s="85" t="s">
        <v>228</v>
      </c>
    </row>
    <row r="118" spans="1:90" s="80" customFormat="1" ht="11.25">
      <c r="A118" s="413"/>
      <c r="B118" s="414" t="s">
        <v>66</v>
      </c>
      <c r="C118" s="406"/>
      <c r="D118" s="415" t="s">
        <v>12</v>
      </c>
      <c r="E118" s="416"/>
      <c r="F118" s="407">
        <v>34586</v>
      </c>
      <c r="G118" s="407">
        <v>15204</v>
      </c>
      <c r="H118" s="407">
        <v>27592</v>
      </c>
      <c r="I118" s="407">
        <v>22277</v>
      </c>
      <c r="J118" s="408"/>
      <c r="K118" s="407">
        <f>BF118</f>
        <v>3454</v>
      </c>
      <c r="L118" s="407">
        <f>AY118</f>
        <v>3728</v>
      </c>
      <c r="M118" s="407">
        <f>BD118</f>
        <v>2633</v>
      </c>
      <c r="N118" s="407">
        <f>AW118</f>
        <v>1606</v>
      </c>
      <c r="O118" s="407">
        <f>BE118</f>
        <v>1085</v>
      </c>
      <c r="P118" s="407">
        <f>'2007'!AZ118+'2007'!BA118</f>
        <v>5539</v>
      </c>
      <c r="Q118" s="407">
        <f>'2007'!AU118</f>
        <v>1758</v>
      </c>
      <c r="R118" s="407">
        <f>AT118+AX118</f>
        <v>6411</v>
      </c>
      <c r="S118" s="407">
        <f>AV118</f>
        <v>2471</v>
      </c>
      <c r="T118" s="407">
        <f>BB118</f>
        <v>2433</v>
      </c>
      <c r="U118" s="407">
        <f>BC118</f>
        <v>3467</v>
      </c>
      <c r="V118" s="407">
        <f>BG118+BJ118</f>
        <v>2369</v>
      </c>
      <c r="W118" s="407">
        <f>BR118</f>
        <v>1180</v>
      </c>
      <c r="X118" s="407">
        <f>BH118+BI118</f>
        <v>3094</v>
      </c>
      <c r="Y118" s="407">
        <f>BK118+BL118+BN118</f>
        <v>3911</v>
      </c>
      <c r="Z118" s="407">
        <f>BM118</f>
        <v>1816</v>
      </c>
      <c r="AA118" s="407">
        <f>BO118+BQ118</f>
        <v>1466</v>
      </c>
      <c r="AB118" s="407">
        <f>BP118</f>
        <v>1368</v>
      </c>
      <c r="AC118" s="407">
        <f>BX118</f>
        <v>1878</v>
      </c>
      <c r="AD118" s="407">
        <f>BU118</f>
        <v>2824</v>
      </c>
      <c r="AE118" s="407">
        <f>BS118+BT118</f>
        <v>6019</v>
      </c>
      <c r="AF118" s="407">
        <f>CA118</f>
        <v>2260</v>
      </c>
      <c r="AG118" s="407">
        <f>BV118</f>
        <v>7030</v>
      </c>
      <c r="AH118" s="407">
        <f>BZ118</f>
        <v>2919</v>
      </c>
      <c r="AI118" s="407">
        <f>BW118</f>
        <v>1521</v>
      </c>
      <c r="AJ118" s="407">
        <f>BY118</f>
        <v>891</v>
      </c>
      <c r="AK118" s="407">
        <f>CB118</f>
        <v>2251</v>
      </c>
      <c r="AL118" s="407">
        <f>CE118</f>
        <v>1628</v>
      </c>
      <c r="AM118" s="407">
        <f>CH118</f>
        <v>3212</v>
      </c>
      <c r="AN118" s="407">
        <f>CJ118</f>
        <v>4654</v>
      </c>
      <c r="AO118" s="407">
        <f>CC118</f>
        <v>2581</v>
      </c>
      <c r="AP118" s="407">
        <f>CD118</f>
        <v>1100</v>
      </c>
      <c r="AQ118" s="407">
        <f>CK118</f>
        <v>2366</v>
      </c>
      <c r="AR118" s="407">
        <f>CI118</f>
        <v>3398</v>
      </c>
      <c r="AS118" s="407">
        <f>CF118+CG118</f>
        <v>3338</v>
      </c>
      <c r="AT118" s="408">
        <v>1810</v>
      </c>
      <c r="AU118" s="408">
        <v>1758</v>
      </c>
      <c r="AV118" s="408">
        <v>2471</v>
      </c>
      <c r="AW118" s="408">
        <v>1606</v>
      </c>
      <c r="AX118" s="408">
        <v>4601</v>
      </c>
      <c r="AY118" s="407">
        <v>3728</v>
      </c>
      <c r="AZ118" s="407">
        <v>705</v>
      </c>
      <c r="BA118" s="407">
        <v>4834</v>
      </c>
      <c r="BB118" s="407">
        <v>2433</v>
      </c>
      <c r="BC118" s="407">
        <v>3467</v>
      </c>
      <c r="BD118" s="407">
        <v>2633</v>
      </c>
      <c r="BE118" s="407">
        <v>1085</v>
      </c>
      <c r="BF118" s="407">
        <v>3454</v>
      </c>
      <c r="BG118" s="407">
        <v>587</v>
      </c>
      <c r="BH118" s="407">
        <v>537</v>
      </c>
      <c r="BI118" s="407">
        <v>2557</v>
      </c>
      <c r="BJ118" s="407">
        <v>1782</v>
      </c>
      <c r="BK118" s="407">
        <v>495</v>
      </c>
      <c r="BL118" s="407">
        <v>542</v>
      </c>
      <c r="BM118" s="407">
        <v>1816</v>
      </c>
      <c r="BN118" s="407">
        <v>2874</v>
      </c>
      <c r="BO118" s="407">
        <v>279</v>
      </c>
      <c r="BP118" s="407">
        <v>1368</v>
      </c>
      <c r="BQ118" s="407">
        <v>1187</v>
      </c>
      <c r="BR118" s="407">
        <v>1180</v>
      </c>
      <c r="BS118" s="407">
        <v>596</v>
      </c>
      <c r="BT118" s="407">
        <v>5423</v>
      </c>
      <c r="BU118" s="407">
        <v>2824</v>
      </c>
      <c r="BV118" s="407">
        <v>7030</v>
      </c>
      <c r="BW118" s="407">
        <v>1521</v>
      </c>
      <c r="BX118" s="407">
        <v>1878</v>
      </c>
      <c r="BY118" s="407">
        <v>891</v>
      </c>
      <c r="BZ118" s="407">
        <v>2919</v>
      </c>
      <c r="CA118" s="407">
        <v>2260</v>
      </c>
      <c r="CB118" s="407">
        <v>2251</v>
      </c>
      <c r="CC118" s="407">
        <v>2581</v>
      </c>
      <c r="CD118" s="407">
        <v>1100</v>
      </c>
      <c r="CE118" s="407">
        <v>1628</v>
      </c>
      <c r="CF118" s="407">
        <v>390</v>
      </c>
      <c r="CG118" s="407">
        <v>2948</v>
      </c>
      <c r="CH118" s="407">
        <v>3212</v>
      </c>
      <c r="CI118" s="407">
        <v>3398</v>
      </c>
      <c r="CJ118" s="407">
        <v>4654</v>
      </c>
      <c r="CK118" s="407">
        <v>2366</v>
      </c>
      <c r="CL118" s="407">
        <v>99658</v>
      </c>
    </row>
    <row r="119" spans="1:90" s="80" customFormat="1" ht="11.25">
      <c r="A119" s="413"/>
      <c r="B119" s="417" t="s">
        <v>305</v>
      </c>
      <c r="C119" s="409"/>
      <c r="D119" s="415" t="s">
        <v>3</v>
      </c>
      <c r="E119" s="415"/>
      <c r="F119" s="410">
        <v>0.82099999999999995</v>
      </c>
      <c r="G119" s="410">
        <v>0.40300000000000002</v>
      </c>
      <c r="H119" s="410">
        <v>0.56799999999999995</v>
      </c>
      <c r="I119" s="410">
        <v>0.52300000000000002</v>
      </c>
      <c r="J119" s="410"/>
      <c r="K119" s="412">
        <f>BF119</f>
        <v>8.5000000000000006E-2</v>
      </c>
      <c r="L119" s="410">
        <f>AY119</f>
        <v>0.08</v>
      </c>
      <c r="M119" s="410">
        <f>BD119</f>
        <v>6.3E-2</v>
      </c>
      <c r="N119" s="410">
        <f>AW119</f>
        <v>3.5000000000000003E-2</v>
      </c>
      <c r="O119" s="410">
        <f>BE119</f>
        <v>3.2000000000000001E-2</v>
      </c>
      <c r="P119" s="411">
        <f>AZ119+BA119</f>
        <v>0.115</v>
      </c>
      <c r="Q119" s="412"/>
      <c r="R119" s="411">
        <f>AT119+AX119</f>
        <v>0.14899999999999999</v>
      </c>
      <c r="S119" s="410">
        <f>AV119</f>
        <v>5.8999999999999997E-2</v>
      </c>
      <c r="T119" s="410">
        <f>BB119</f>
        <v>6.2E-2</v>
      </c>
      <c r="U119" s="412">
        <f>BC119</f>
        <v>9.9000000000000005E-2</v>
      </c>
      <c r="V119" s="411">
        <f>BG119+BJ119</f>
        <v>6.0999999999999999E-2</v>
      </c>
      <c r="W119" s="410">
        <f>BR119</f>
        <v>2.5999999999999999E-2</v>
      </c>
      <c r="X119" s="411">
        <f>BH119+BI119</f>
        <v>7.8E-2</v>
      </c>
      <c r="Y119" s="411">
        <f>BK119+BL119+BN119</f>
        <v>0.106</v>
      </c>
      <c r="Z119" s="410">
        <f>BM119</f>
        <v>5.0999999999999997E-2</v>
      </c>
      <c r="AA119" s="411">
        <f>BO119+BQ119</f>
        <v>3.7999999999999999E-2</v>
      </c>
      <c r="AB119" s="412">
        <f>BP119</f>
        <v>4.1000000000000002E-2</v>
      </c>
      <c r="AC119" s="410">
        <f>BX119</f>
        <v>0.04</v>
      </c>
      <c r="AD119" s="410">
        <f>BU119</f>
        <v>4.9000000000000002E-2</v>
      </c>
      <c r="AE119" s="411">
        <f>BS119+BT119</f>
        <v>0.122</v>
      </c>
      <c r="AF119" s="410">
        <f>CA119</f>
        <v>4.3999999999999997E-2</v>
      </c>
      <c r="AG119" s="410">
        <f>BV119</f>
        <v>0.13900000000000001</v>
      </c>
      <c r="AH119" s="410">
        <f>BZ119</f>
        <v>8.1000000000000003E-2</v>
      </c>
      <c r="AI119" s="410">
        <f>BW119</f>
        <v>3.4000000000000002E-2</v>
      </c>
      <c r="AJ119" s="410">
        <f>BY119</f>
        <v>2.4E-2</v>
      </c>
      <c r="AK119" s="412">
        <f>CB119</f>
        <v>3.5999999999999997E-2</v>
      </c>
      <c r="AL119" s="410">
        <f>CE119</f>
        <v>3.5000000000000003E-2</v>
      </c>
      <c r="AM119" s="410">
        <f>CH119</f>
        <v>8.5000000000000006E-2</v>
      </c>
      <c r="AN119" s="410">
        <f>CJ119</f>
        <v>0.11</v>
      </c>
      <c r="AO119" s="410">
        <f>CC119</f>
        <v>5.0999999999999997E-2</v>
      </c>
      <c r="AP119" s="410">
        <f>CD119</f>
        <v>2.3E-2</v>
      </c>
      <c r="AQ119" s="410">
        <f>CK119</f>
        <v>5.5E-2</v>
      </c>
      <c r="AR119" s="410">
        <f>CI119</f>
        <v>8.4000000000000005E-2</v>
      </c>
      <c r="AS119" s="411">
        <f>CF119+CG119</f>
        <v>7.8E-2</v>
      </c>
      <c r="AT119" s="410">
        <v>5.7000000000000002E-2</v>
      </c>
      <c r="AU119" s="410">
        <v>4.2000000000000003E-2</v>
      </c>
      <c r="AV119" s="410">
        <v>5.8999999999999997E-2</v>
      </c>
      <c r="AW119" s="410">
        <v>3.5000000000000003E-2</v>
      </c>
      <c r="AX119" s="410">
        <v>9.1999999999999998E-2</v>
      </c>
      <c r="AY119" s="410">
        <v>0.08</v>
      </c>
      <c r="AZ119" s="410">
        <v>1.7999999999999999E-2</v>
      </c>
      <c r="BA119" s="410">
        <v>9.7000000000000003E-2</v>
      </c>
      <c r="BB119" s="410">
        <v>6.2E-2</v>
      </c>
      <c r="BC119" s="410">
        <v>9.9000000000000005E-2</v>
      </c>
      <c r="BD119" s="410">
        <v>6.3E-2</v>
      </c>
      <c r="BE119" s="410">
        <v>3.2000000000000001E-2</v>
      </c>
      <c r="BF119" s="410">
        <v>8.5000000000000006E-2</v>
      </c>
      <c r="BG119" s="410">
        <v>1.6E-2</v>
      </c>
      <c r="BH119" s="410">
        <v>1.7999999999999999E-2</v>
      </c>
      <c r="BI119" s="410">
        <v>0.06</v>
      </c>
      <c r="BJ119" s="410">
        <v>4.4999999999999998E-2</v>
      </c>
      <c r="BK119" s="410">
        <v>1.7000000000000001E-2</v>
      </c>
      <c r="BL119" s="410">
        <v>1.4999999999999999E-2</v>
      </c>
      <c r="BM119" s="410">
        <v>5.0999999999999997E-2</v>
      </c>
      <c r="BN119" s="410">
        <v>7.3999999999999996E-2</v>
      </c>
      <c r="BO119" s="410">
        <v>1.2E-2</v>
      </c>
      <c r="BP119" s="410">
        <v>4.1000000000000002E-2</v>
      </c>
      <c r="BQ119" s="410">
        <v>2.5999999999999999E-2</v>
      </c>
      <c r="BR119" s="410">
        <v>2.5999999999999999E-2</v>
      </c>
      <c r="BS119" s="410">
        <v>1.7000000000000001E-2</v>
      </c>
      <c r="BT119" s="410">
        <v>0.105</v>
      </c>
      <c r="BU119" s="410">
        <v>4.9000000000000002E-2</v>
      </c>
      <c r="BV119" s="410">
        <v>0.13900000000000001</v>
      </c>
      <c r="BW119" s="410">
        <v>3.4000000000000002E-2</v>
      </c>
      <c r="BX119" s="410">
        <v>0.04</v>
      </c>
      <c r="BY119" s="410">
        <v>2.4E-2</v>
      </c>
      <c r="BZ119" s="410">
        <v>8.1000000000000003E-2</v>
      </c>
      <c r="CA119" s="410">
        <v>4.3999999999999997E-2</v>
      </c>
      <c r="CB119" s="410">
        <v>3.5999999999999997E-2</v>
      </c>
      <c r="CC119" s="410">
        <v>5.0999999999999997E-2</v>
      </c>
      <c r="CD119" s="410">
        <v>2.3E-2</v>
      </c>
      <c r="CE119" s="410">
        <v>3.5000000000000003E-2</v>
      </c>
      <c r="CF119" s="410">
        <v>1.0999999999999999E-2</v>
      </c>
      <c r="CG119" s="410">
        <v>6.7000000000000004E-2</v>
      </c>
      <c r="CH119" s="410">
        <v>8.5000000000000006E-2</v>
      </c>
      <c r="CI119" s="410">
        <v>8.4000000000000005E-2</v>
      </c>
      <c r="CJ119" s="410">
        <v>0.11</v>
      </c>
      <c r="CK119" s="410">
        <v>5.5E-2</v>
      </c>
      <c r="CL119" s="410">
        <v>2.3149999999999999</v>
      </c>
    </row>
    <row r="120" spans="1:90" s="80" customFormat="1" ht="11.25">
      <c r="B120" s="414" t="s">
        <v>58</v>
      </c>
      <c r="C120" s="406">
        <v>2010</v>
      </c>
      <c r="D120" s="80" t="s">
        <v>14</v>
      </c>
      <c r="E120" s="418">
        <v>40441</v>
      </c>
      <c r="F120" s="407">
        <v>586</v>
      </c>
      <c r="G120" s="407">
        <v>290</v>
      </c>
      <c r="H120" s="407">
        <v>242</v>
      </c>
      <c r="I120" s="407">
        <v>334</v>
      </c>
      <c r="J120" s="407"/>
      <c r="K120" s="407">
        <v>56</v>
      </c>
      <c r="L120" s="407">
        <v>61</v>
      </c>
      <c r="M120" s="407">
        <v>14</v>
      </c>
      <c r="N120" s="407">
        <v>36</v>
      </c>
      <c r="O120" s="407">
        <v>75</v>
      </c>
      <c r="P120" s="407">
        <v>66</v>
      </c>
      <c r="Q120" s="407">
        <v>41</v>
      </c>
      <c r="R120" s="407">
        <v>97</v>
      </c>
      <c r="S120" s="407">
        <v>53</v>
      </c>
      <c r="T120" s="407">
        <v>19</v>
      </c>
      <c r="U120" s="407">
        <v>71</v>
      </c>
      <c r="V120" s="407">
        <v>32</v>
      </c>
      <c r="W120" s="407">
        <v>41</v>
      </c>
      <c r="X120" s="407">
        <v>81</v>
      </c>
      <c r="Y120" s="407">
        <v>56</v>
      </c>
      <c r="Z120" s="407">
        <v>26</v>
      </c>
      <c r="AA120" s="407">
        <v>44</v>
      </c>
      <c r="AB120" s="407">
        <v>21</v>
      </c>
      <c r="AC120" s="407">
        <v>24</v>
      </c>
      <c r="AD120" s="407">
        <v>20</v>
      </c>
      <c r="AE120" s="407">
        <v>42</v>
      </c>
      <c r="AF120" s="407">
        <v>19</v>
      </c>
      <c r="AG120" s="407">
        <v>23</v>
      </c>
      <c r="AH120" s="407">
        <v>16</v>
      </c>
      <c r="AI120" s="407">
        <v>40</v>
      </c>
      <c r="AJ120" s="407">
        <v>39</v>
      </c>
      <c r="AK120" s="407">
        <v>25</v>
      </c>
      <c r="AL120" s="407">
        <v>18</v>
      </c>
      <c r="AM120" s="407">
        <v>34</v>
      </c>
      <c r="AN120" s="407">
        <v>53</v>
      </c>
      <c r="AO120" s="407">
        <v>95</v>
      </c>
      <c r="AP120" s="407">
        <v>21</v>
      </c>
      <c r="AQ120" s="407">
        <v>28</v>
      </c>
      <c r="AR120" s="407">
        <v>27</v>
      </c>
      <c r="AS120" s="407">
        <v>59</v>
      </c>
      <c r="AT120" s="407"/>
      <c r="AU120" s="407">
        <v>41</v>
      </c>
      <c r="AV120" s="407">
        <v>53</v>
      </c>
      <c r="AW120" s="407">
        <v>36</v>
      </c>
      <c r="AX120" s="407">
        <v>70</v>
      </c>
      <c r="AY120" s="407">
        <v>61</v>
      </c>
      <c r="AZ120" s="407">
        <v>15</v>
      </c>
      <c r="BA120" s="407">
        <v>51</v>
      </c>
      <c r="BB120" s="407">
        <v>19</v>
      </c>
      <c r="BC120" s="407">
        <v>71</v>
      </c>
      <c r="BD120" s="407">
        <v>14</v>
      </c>
      <c r="BE120" s="407">
        <v>75</v>
      </c>
      <c r="BF120" s="407">
        <v>56</v>
      </c>
      <c r="BG120" s="407">
        <v>5</v>
      </c>
      <c r="BH120" s="407">
        <v>19</v>
      </c>
      <c r="BI120" s="407">
        <v>62</v>
      </c>
      <c r="BJ120" s="407">
        <v>27</v>
      </c>
      <c r="BK120" s="407">
        <v>2</v>
      </c>
      <c r="BL120" s="407">
        <v>16</v>
      </c>
      <c r="BM120" s="407">
        <v>26</v>
      </c>
      <c r="BN120" s="407">
        <v>38</v>
      </c>
      <c r="BO120" s="407">
        <v>5</v>
      </c>
      <c r="BP120" s="407">
        <v>21</v>
      </c>
      <c r="BQ120" s="407">
        <v>39</v>
      </c>
      <c r="BR120" s="407">
        <v>41</v>
      </c>
      <c r="BS120" s="407">
        <v>8</v>
      </c>
      <c r="BT120" s="407">
        <v>34</v>
      </c>
      <c r="BU120" s="407">
        <v>20</v>
      </c>
      <c r="BV120" s="407">
        <v>23</v>
      </c>
      <c r="BW120" s="407">
        <v>40</v>
      </c>
      <c r="BX120" s="407">
        <v>24</v>
      </c>
      <c r="BY120" s="407">
        <v>39</v>
      </c>
      <c r="BZ120" s="407">
        <v>16</v>
      </c>
      <c r="CA120" s="407">
        <v>19</v>
      </c>
      <c r="CB120" s="407">
        <v>25</v>
      </c>
      <c r="CC120" s="407">
        <v>95</v>
      </c>
      <c r="CD120" s="407">
        <v>21</v>
      </c>
      <c r="CE120" s="407">
        <v>18</v>
      </c>
      <c r="CF120" s="407">
        <v>12</v>
      </c>
      <c r="CG120" s="407">
        <v>47</v>
      </c>
      <c r="CH120" s="407">
        <v>34</v>
      </c>
      <c r="CI120" s="407">
        <v>27</v>
      </c>
      <c r="CJ120" s="407">
        <v>53</v>
      </c>
      <c r="CK120" s="407">
        <v>28</v>
      </c>
      <c r="CL120" s="407">
        <v>1452</v>
      </c>
    </row>
    <row r="121" spans="1:90" s="80" customFormat="1" ht="11.25">
      <c r="B121" s="414"/>
      <c r="C121" s="406"/>
      <c r="D121" s="80" t="s">
        <v>1</v>
      </c>
      <c r="F121" s="407">
        <v>232107.36</v>
      </c>
      <c r="G121" s="407">
        <v>184654.69</v>
      </c>
      <c r="H121" s="407">
        <v>174810.37</v>
      </c>
      <c r="I121" s="407">
        <v>202711.95</v>
      </c>
      <c r="J121" s="407"/>
      <c r="K121" s="407">
        <v>18203.28</v>
      </c>
      <c r="L121" s="407">
        <v>29257.74</v>
      </c>
      <c r="M121" s="407">
        <v>26747.8</v>
      </c>
      <c r="N121" s="407">
        <v>15760.74</v>
      </c>
      <c r="O121" s="407">
        <v>7776.37</v>
      </c>
      <c r="P121" s="407">
        <v>14670.77</v>
      </c>
      <c r="Q121" s="407">
        <v>20995.78</v>
      </c>
      <c r="R121" s="407">
        <v>33590.68</v>
      </c>
      <c r="S121" s="407">
        <v>28171.93</v>
      </c>
      <c r="T121" s="407">
        <v>12926.83</v>
      </c>
      <c r="U121" s="407">
        <v>24005.43</v>
      </c>
      <c r="V121" s="407">
        <v>31773.06</v>
      </c>
      <c r="W121" s="407">
        <v>11941.64</v>
      </c>
      <c r="X121" s="407">
        <v>32421.03</v>
      </c>
      <c r="Y121" s="407">
        <v>49804.35</v>
      </c>
      <c r="Z121" s="407">
        <v>15546.89</v>
      </c>
      <c r="AA121" s="407">
        <v>18158.240000000002</v>
      </c>
      <c r="AB121" s="407">
        <v>25000.47</v>
      </c>
      <c r="AC121" s="407">
        <v>8787.24</v>
      </c>
      <c r="AD121" s="407">
        <v>10687.19</v>
      </c>
      <c r="AE121" s="407">
        <v>72340.58</v>
      </c>
      <c r="AF121" s="407">
        <v>5894.01</v>
      </c>
      <c r="AG121" s="407">
        <v>14323.86</v>
      </c>
      <c r="AH121" s="407">
        <v>20871.22</v>
      </c>
      <c r="AI121" s="407">
        <v>6983.96</v>
      </c>
      <c r="AJ121" s="407">
        <v>7057.98</v>
      </c>
      <c r="AK121" s="407">
        <v>27864.33</v>
      </c>
      <c r="AL121" s="407">
        <v>31057.48</v>
      </c>
      <c r="AM121" s="407">
        <v>29330.19</v>
      </c>
      <c r="AN121" s="407">
        <v>29782.37</v>
      </c>
      <c r="AO121" s="407">
        <v>24341.94</v>
      </c>
      <c r="AP121" s="407">
        <v>20088.61</v>
      </c>
      <c r="AQ121" s="407">
        <v>10922.03</v>
      </c>
      <c r="AR121" s="407">
        <v>9362.69</v>
      </c>
      <c r="AS121" s="407">
        <v>47826.65</v>
      </c>
      <c r="AT121" s="407"/>
      <c r="AU121" s="407">
        <v>20995.78</v>
      </c>
      <c r="AV121" s="407">
        <v>28171.93</v>
      </c>
      <c r="AW121" s="407">
        <v>15760.74</v>
      </c>
      <c r="AX121" s="407">
        <v>26900.82</v>
      </c>
      <c r="AY121" s="407">
        <v>29257.74</v>
      </c>
      <c r="AZ121" s="407">
        <v>2301.91</v>
      </c>
      <c r="BA121" s="407">
        <v>12368.86</v>
      </c>
      <c r="BB121" s="407">
        <v>12926.83</v>
      </c>
      <c r="BC121" s="407">
        <v>24005.43</v>
      </c>
      <c r="BD121" s="407">
        <v>26747.8</v>
      </c>
      <c r="BE121" s="407">
        <v>7776.37</v>
      </c>
      <c r="BF121" s="407">
        <v>18203.28</v>
      </c>
      <c r="BG121" s="407">
        <v>8855.68</v>
      </c>
      <c r="BH121" s="407">
        <v>5712.45</v>
      </c>
      <c r="BI121" s="407">
        <v>26708.58</v>
      </c>
      <c r="BJ121" s="407">
        <v>22917.38</v>
      </c>
      <c r="BK121" s="407">
        <v>4996</v>
      </c>
      <c r="BL121" s="407">
        <v>4092.46</v>
      </c>
      <c r="BM121" s="407">
        <v>15546.89</v>
      </c>
      <c r="BN121" s="407">
        <v>40715.89</v>
      </c>
      <c r="BO121" s="407">
        <v>5897.54</v>
      </c>
      <c r="BP121" s="407">
        <v>25000.47</v>
      </c>
      <c r="BQ121" s="407">
        <v>12260.7</v>
      </c>
      <c r="BR121" s="407">
        <v>11941.64</v>
      </c>
      <c r="BS121" s="407">
        <v>6992.51</v>
      </c>
      <c r="BT121" s="407">
        <v>65348.07</v>
      </c>
      <c r="BU121" s="407">
        <v>10687.19</v>
      </c>
      <c r="BV121" s="407">
        <v>14323.86</v>
      </c>
      <c r="BW121" s="407">
        <v>6983.96</v>
      </c>
      <c r="BX121" s="407">
        <v>8787.24</v>
      </c>
      <c r="BY121" s="407">
        <v>7057.98</v>
      </c>
      <c r="BZ121" s="407">
        <v>20871.22</v>
      </c>
      <c r="CA121" s="407">
        <v>5894.01</v>
      </c>
      <c r="CB121" s="407">
        <v>27864.33</v>
      </c>
      <c r="CC121" s="407">
        <v>24341.94</v>
      </c>
      <c r="CD121" s="407">
        <v>20088.61</v>
      </c>
      <c r="CE121" s="407">
        <v>31057.48</v>
      </c>
      <c r="CF121" s="407">
        <v>3508.14</v>
      </c>
      <c r="CG121" s="407">
        <v>44318.51</v>
      </c>
      <c r="CH121" s="407">
        <v>29330.19</v>
      </c>
      <c r="CI121" s="407">
        <v>9362.69</v>
      </c>
      <c r="CJ121" s="407">
        <v>29782.37</v>
      </c>
      <c r="CK121" s="407">
        <v>10922.03</v>
      </c>
      <c r="CL121" s="407">
        <v>813936.7</v>
      </c>
    </row>
    <row r="122" spans="1:90" s="80" customFormat="1" ht="11.25">
      <c r="B122" s="414" t="s">
        <v>211</v>
      </c>
      <c r="C122" s="406">
        <v>2010</v>
      </c>
      <c r="D122" s="80" t="s">
        <v>14</v>
      </c>
      <c r="E122" s="418">
        <v>40441</v>
      </c>
      <c r="F122" s="407">
        <v>4143</v>
      </c>
      <c r="G122" s="407">
        <v>308</v>
      </c>
      <c r="H122" s="407">
        <v>509</v>
      </c>
      <c r="I122" s="407">
        <v>1271</v>
      </c>
      <c r="J122" s="407"/>
      <c r="K122" s="407">
        <v>398</v>
      </c>
      <c r="L122" s="407">
        <v>596</v>
      </c>
      <c r="M122" s="407">
        <v>282</v>
      </c>
      <c r="N122" s="407">
        <v>246</v>
      </c>
      <c r="O122" s="407">
        <v>239</v>
      </c>
      <c r="P122" s="407">
        <v>184</v>
      </c>
      <c r="Q122" s="407">
        <v>396</v>
      </c>
      <c r="R122" s="407">
        <v>538</v>
      </c>
      <c r="S122" s="407">
        <v>404</v>
      </c>
      <c r="T122" s="407">
        <v>132</v>
      </c>
      <c r="U122" s="407">
        <v>732</v>
      </c>
      <c r="V122" s="407">
        <v>40</v>
      </c>
      <c r="W122" s="407">
        <v>16</v>
      </c>
      <c r="X122" s="407">
        <v>155</v>
      </c>
      <c r="Y122" s="407">
        <v>61</v>
      </c>
      <c r="Z122" s="407">
        <v>23</v>
      </c>
      <c r="AA122" s="407">
        <v>16</v>
      </c>
      <c r="AB122" s="407" t="s">
        <v>61</v>
      </c>
      <c r="AC122" s="407">
        <v>48</v>
      </c>
      <c r="AD122" s="407">
        <v>21</v>
      </c>
      <c r="AE122" s="407">
        <v>55</v>
      </c>
      <c r="AF122" s="407">
        <v>38</v>
      </c>
      <c r="AG122" s="407">
        <v>98</v>
      </c>
      <c r="AH122" s="407">
        <v>68</v>
      </c>
      <c r="AI122" s="407">
        <v>21</v>
      </c>
      <c r="AJ122" s="407">
        <v>81</v>
      </c>
      <c r="AK122" s="407">
        <v>79</v>
      </c>
      <c r="AL122" s="407">
        <v>29</v>
      </c>
      <c r="AM122" s="407">
        <v>7</v>
      </c>
      <c r="AN122" s="407">
        <v>493</v>
      </c>
      <c r="AO122" s="407">
        <v>203</v>
      </c>
      <c r="AP122" s="407">
        <v>17</v>
      </c>
      <c r="AQ122" s="407">
        <v>124</v>
      </c>
      <c r="AR122" s="407">
        <v>28</v>
      </c>
      <c r="AS122" s="407">
        <v>371</v>
      </c>
      <c r="AT122" s="407"/>
      <c r="AU122" s="407">
        <v>396</v>
      </c>
      <c r="AV122" s="407">
        <v>404</v>
      </c>
      <c r="AW122" s="407">
        <v>246</v>
      </c>
      <c r="AX122" s="407">
        <v>526</v>
      </c>
      <c r="AY122" s="407">
        <v>596</v>
      </c>
      <c r="AZ122" s="407">
        <v>8</v>
      </c>
      <c r="BA122" s="407">
        <v>176</v>
      </c>
      <c r="BB122" s="407">
        <v>132</v>
      </c>
      <c r="BC122" s="407">
        <v>732</v>
      </c>
      <c r="BD122" s="407">
        <v>282</v>
      </c>
      <c r="BE122" s="407">
        <v>239</v>
      </c>
      <c r="BF122" s="407">
        <v>398</v>
      </c>
      <c r="BG122" s="407">
        <v>9</v>
      </c>
      <c r="BH122" s="407">
        <v>3</v>
      </c>
      <c r="BI122" s="407">
        <v>152</v>
      </c>
      <c r="BJ122" s="407">
        <v>31</v>
      </c>
      <c r="BK122" s="407">
        <v>9</v>
      </c>
      <c r="BL122" s="407">
        <v>2</v>
      </c>
      <c r="BM122" s="407">
        <v>23</v>
      </c>
      <c r="BN122" s="407">
        <v>50</v>
      </c>
      <c r="BO122" s="407">
        <v>1</v>
      </c>
      <c r="BP122" s="407" t="s">
        <v>61</v>
      </c>
      <c r="BQ122" s="407">
        <v>15</v>
      </c>
      <c r="BR122" s="407">
        <v>16</v>
      </c>
      <c r="BS122" s="407">
        <v>7</v>
      </c>
      <c r="BT122" s="407">
        <v>48</v>
      </c>
      <c r="BU122" s="407">
        <v>21</v>
      </c>
      <c r="BV122" s="407">
        <v>98</v>
      </c>
      <c r="BW122" s="407">
        <v>21</v>
      </c>
      <c r="BX122" s="407">
        <v>48</v>
      </c>
      <c r="BY122" s="407">
        <v>81</v>
      </c>
      <c r="BZ122" s="407">
        <v>68</v>
      </c>
      <c r="CA122" s="407">
        <v>38</v>
      </c>
      <c r="CB122" s="407">
        <v>79</v>
      </c>
      <c r="CC122" s="407">
        <v>203</v>
      </c>
      <c r="CD122" s="407">
        <v>17</v>
      </c>
      <c r="CE122" s="407">
        <v>29</v>
      </c>
      <c r="CF122" s="407">
        <v>9</v>
      </c>
      <c r="CG122" s="407">
        <v>362</v>
      </c>
      <c r="CH122" s="407">
        <v>7</v>
      </c>
      <c r="CI122" s="407">
        <v>28</v>
      </c>
      <c r="CJ122" s="407">
        <v>493</v>
      </c>
      <c r="CK122" s="407">
        <v>124</v>
      </c>
      <c r="CL122" s="407">
        <v>6231</v>
      </c>
    </row>
    <row r="123" spans="1:90" s="80" customFormat="1" ht="11.25">
      <c r="B123" s="414"/>
      <c r="C123" s="406"/>
      <c r="D123" s="80" t="s">
        <v>1</v>
      </c>
      <c r="F123" s="407">
        <v>4170.09</v>
      </c>
      <c r="G123" s="407">
        <v>541.74</v>
      </c>
      <c r="H123" s="407">
        <v>587.17999999999995</v>
      </c>
      <c r="I123" s="407">
        <v>1151.67</v>
      </c>
      <c r="J123" s="407"/>
      <c r="K123" s="407">
        <v>359.48</v>
      </c>
      <c r="L123" s="407">
        <v>528.95000000000005</v>
      </c>
      <c r="M123" s="407">
        <v>290.68</v>
      </c>
      <c r="N123" s="407">
        <v>310.51</v>
      </c>
      <c r="O123" s="407">
        <v>119.56</v>
      </c>
      <c r="P123" s="407">
        <v>180.21</v>
      </c>
      <c r="Q123" s="407">
        <v>604.95000000000005</v>
      </c>
      <c r="R123" s="407">
        <v>582.64</v>
      </c>
      <c r="S123" s="407">
        <v>556.91</v>
      </c>
      <c r="T123" s="407">
        <v>74.989999999999995</v>
      </c>
      <c r="U123" s="407">
        <v>561.22</v>
      </c>
      <c r="V123" s="407">
        <v>79.45</v>
      </c>
      <c r="W123" s="407">
        <v>39.14</v>
      </c>
      <c r="X123" s="407">
        <v>280.74</v>
      </c>
      <c r="Y123" s="407">
        <v>77.97</v>
      </c>
      <c r="Z123" s="407">
        <v>54.51</v>
      </c>
      <c r="AA123" s="407">
        <v>9.93</v>
      </c>
      <c r="AB123" s="407" t="s">
        <v>61</v>
      </c>
      <c r="AC123" s="407">
        <v>65.58</v>
      </c>
      <c r="AD123" s="407">
        <v>29.81</v>
      </c>
      <c r="AE123" s="407">
        <v>68.790000000000006</v>
      </c>
      <c r="AF123" s="407">
        <v>36.619999999999997</v>
      </c>
      <c r="AG123" s="407">
        <v>45.79</v>
      </c>
      <c r="AH123" s="407">
        <v>151.69</v>
      </c>
      <c r="AI123" s="407">
        <v>42.2</v>
      </c>
      <c r="AJ123" s="407">
        <v>77.03</v>
      </c>
      <c r="AK123" s="407">
        <v>69.67</v>
      </c>
      <c r="AL123" s="407">
        <v>65.63</v>
      </c>
      <c r="AM123" s="407">
        <v>10.07</v>
      </c>
      <c r="AN123" s="407">
        <v>440.02</v>
      </c>
      <c r="AO123" s="407">
        <v>198.6</v>
      </c>
      <c r="AP123" s="407">
        <v>28.92</v>
      </c>
      <c r="AQ123" s="407">
        <v>42.68</v>
      </c>
      <c r="AR123" s="407">
        <v>40.46</v>
      </c>
      <c r="AS123" s="407">
        <v>325.3</v>
      </c>
      <c r="AT123" s="407"/>
      <c r="AU123" s="407">
        <v>604.95000000000005</v>
      </c>
      <c r="AV123" s="407">
        <v>556.91</v>
      </c>
      <c r="AW123" s="407">
        <v>310.51</v>
      </c>
      <c r="AX123" s="407">
        <v>578.1</v>
      </c>
      <c r="AY123" s="407">
        <v>528.95000000000005</v>
      </c>
      <c r="AZ123" s="407">
        <v>11.52</v>
      </c>
      <c r="BA123" s="407">
        <v>168.69</v>
      </c>
      <c r="BB123" s="407">
        <v>74.989999999999995</v>
      </c>
      <c r="BC123" s="407">
        <v>561.22</v>
      </c>
      <c r="BD123" s="407">
        <v>290.68</v>
      </c>
      <c r="BE123" s="407">
        <v>119.56</v>
      </c>
      <c r="BF123" s="407">
        <v>359.48</v>
      </c>
      <c r="BG123" s="407">
        <v>19.5</v>
      </c>
      <c r="BH123" s="407">
        <v>3.6</v>
      </c>
      <c r="BI123" s="407">
        <v>277.14</v>
      </c>
      <c r="BJ123" s="407">
        <v>59.95</v>
      </c>
      <c r="BK123" s="407">
        <v>16.16</v>
      </c>
      <c r="BL123" s="407">
        <v>1.1599999999999999</v>
      </c>
      <c r="BM123" s="407">
        <v>54.51</v>
      </c>
      <c r="BN123" s="407">
        <v>60.65</v>
      </c>
      <c r="BO123" s="407">
        <v>3.9</v>
      </c>
      <c r="BP123" s="407" t="s">
        <v>61</v>
      </c>
      <c r="BQ123" s="407">
        <v>6.03</v>
      </c>
      <c r="BR123" s="407">
        <v>39.14</v>
      </c>
      <c r="BS123" s="407">
        <v>6.83</v>
      </c>
      <c r="BT123" s="407">
        <v>61.96</v>
      </c>
      <c r="BU123" s="407">
        <v>29.81</v>
      </c>
      <c r="BV123" s="407">
        <v>45.79</v>
      </c>
      <c r="BW123" s="407">
        <v>42.2</v>
      </c>
      <c r="BX123" s="407">
        <v>65.58</v>
      </c>
      <c r="BY123" s="407">
        <v>77.03</v>
      </c>
      <c r="BZ123" s="407">
        <v>151.69</v>
      </c>
      <c r="CA123" s="407">
        <v>36.619999999999997</v>
      </c>
      <c r="CB123" s="407">
        <v>69.67</v>
      </c>
      <c r="CC123" s="407">
        <v>198.6</v>
      </c>
      <c r="CD123" s="407">
        <v>28.92</v>
      </c>
      <c r="CE123" s="407">
        <v>65.63</v>
      </c>
      <c r="CF123" s="407">
        <v>19.27</v>
      </c>
      <c r="CG123" s="407">
        <v>306.02999999999997</v>
      </c>
      <c r="CH123" s="407">
        <v>10.07</v>
      </c>
      <c r="CI123" s="407">
        <v>40.46</v>
      </c>
      <c r="CJ123" s="407">
        <v>440.02</v>
      </c>
      <c r="CK123" s="407">
        <v>42.68</v>
      </c>
      <c r="CL123" s="407">
        <v>6476.71</v>
      </c>
    </row>
    <row r="124" spans="1:90" s="80" customFormat="1" ht="11.25">
      <c r="B124" s="414" t="s">
        <v>254</v>
      </c>
      <c r="C124" s="406">
        <v>2010</v>
      </c>
      <c r="D124" s="80" t="s">
        <v>14</v>
      </c>
      <c r="E124" s="418">
        <v>40648</v>
      </c>
      <c r="F124" s="407">
        <v>3148</v>
      </c>
      <c r="G124" s="407">
        <v>681</v>
      </c>
      <c r="H124" s="407">
        <v>2722</v>
      </c>
      <c r="I124" s="407">
        <v>4220</v>
      </c>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v>89</v>
      </c>
      <c r="AV124" s="407">
        <v>96</v>
      </c>
      <c r="AW124" s="407">
        <v>309</v>
      </c>
      <c r="AX124" s="407">
        <v>140</v>
      </c>
      <c r="AY124" s="407">
        <v>242</v>
      </c>
      <c r="AZ124" s="407">
        <v>4</v>
      </c>
      <c r="BA124" s="407">
        <v>125</v>
      </c>
      <c r="BB124" s="407">
        <v>226</v>
      </c>
      <c r="BC124" s="407">
        <v>693</v>
      </c>
      <c r="BD124" s="407">
        <v>254</v>
      </c>
      <c r="BE124" s="407">
        <v>210</v>
      </c>
      <c r="BF124" s="407">
        <v>746</v>
      </c>
      <c r="BG124" s="407" t="s">
        <v>61</v>
      </c>
      <c r="BH124" s="407" t="s">
        <v>252</v>
      </c>
      <c r="BI124" s="407">
        <v>31</v>
      </c>
      <c r="BJ124" s="407">
        <v>19</v>
      </c>
      <c r="BK124" s="407" t="s">
        <v>252</v>
      </c>
      <c r="BL124" s="407" t="s">
        <v>252</v>
      </c>
      <c r="BM124" s="407">
        <v>213</v>
      </c>
      <c r="BN124" s="407">
        <v>90</v>
      </c>
      <c r="BO124" s="407" t="s">
        <v>252</v>
      </c>
      <c r="BP124" s="407">
        <v>123</v>
      </c>
      <c r="BQ124" s="407">
        <v>65</v>
      </c>
      <c r="BR124" s="407">
        <v>130</v>
      </c>
      <c r="BS124" s="407">
        <v>5</v>
      </c>
      <c r="BT124" s="407">
        <v>443</v>
      </c>
      <c r="BU124" s="407">
        <v>183</v>
      </c>
      <c r="BV124" s="407">
        <v>479</v>
      </c>
      <c r="BW124" s="407">
        <v>221</v>
      </c>
      <c r="BX124" s="407">
        <v>466</v>
      </c>
      <c r="BY124" s="407">
        <v>139</v>
      </c>
      <c r="BZ124" s="407">
        <v>233</v>
      </c>
      <c r="CA124" s="407">
        <v>182</v>
      </c>
      <c r="CB124" s="407">
        <v>371</v>
      </c>
      <c r="CC124" s="407">
        <v>247</v>
      </c>
      <c r="CD124" s="407">
        <v>40</v>
      </c>
      <c r="CE124" s="407">
        <v>82</v>
      </c>
      <c r="CF124" s="407">
        <v>21</v>
      </c>
      <c r="CG124" s="407">
        <v>569</v>
      </c>
      <c r="CH124" s="407">
        <v>886</v>
      </c>
      <c r="CI124" s="407">
        <v>338</v>
      </c>
      <c r="CJ124" s="407">
        <v>1662</v>
      </c>
      <c r="CK124" s="407">
        <v>375</v>
      </c>
      <c r="CL124" s="407">
        <v>10771</v>
      </c>
    </row>
    <row r="125" spans="1:90" s="80" customFormat="1" ht="11.25">
      <c r="B125" s="414" t="s">
        <v>255</v>
      </c>
      <c r="C125" s="406">
        <v>2010</v>
      </c>
      <c r="D125" s="80" t="s">
        <v>14</v>
      </c>
      <c r="E125" s="418">
        <v>40652</v>
      </c>
      <c r="F125" s="407">
        <v>3007</v>
      </c>
      <c r="G125" s="407">
        <v>672</v>
      </c>
      <c r="H125" s="407">
        <v>1964</v>
      </c>
      <c r="I125" s="407">
        <v>2366</v>
      </c>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c r="AU125" s="407">
        <v>85</v>
      </c>
      <c r="AV125" s="407">
        <v>62</v>
      </c>
      <c r="AW125" s="407">
        <v>122</v>
      </c>
      <c r="AX125" s="407">
        <v>133</v>
      </c>
      <c r="AY125" s="407">
        <v>134</v>
      </c>
      <c r="AZ125" s="407" t="s">
        <v>252</v>
      </c>
      <c r="BA125" s="407">
        <v>133</v>
      </c>
      <c r="BB125" s="407">
        <v>359</v>
      </c>
      <c r="BC125" s="407">
        <v>917</v>
      </c>
      <c r="BD125" s="407">
        <v>430</v>
      </c>
      <c r="BE125" s="407">
        <v>169</v>
      </c>
      <c r="BF125" s="407">
        <v>459</v>
      </c>
      <c r="BG125" s="407" t="s">
        <v>252</v>
      </c>
      <c r="BH125" s="407">
        <v>8</v>
      </c>
      <c r="BI125" s="407">
        <v>56</v>
      </c>
      <c r="BJ125" s="407">
        <v>43</v>
      </c>
      <c r="BK125" s="407">
        <v>9</v>
      </c>
      <c r="BL125" s="407" t="s">
        <v>252</v>
      </c>
      <c r="BM125" s="407">
        <v>182</v>
      </c>
      <c r="BN125" s="407">
        <v>110</v>
      </c>
      <c r="BO125" s="407">
        <v>3</v>
      </c>
      <c r="BP125" s="407">
        <v>91</v>
      </c>
      <c r="BQ125" s="407">
        <v>58</v>
      </c>
      <c r="BR125" s="407">
        <v>106</v>
      </c>
      <c r="BS125" s="407">
        <v>13</v>
      </c>
      <c r="BT125" s="407">
        <v>280</v>
      </c>
      <c r="BU125" s="407">
        <v>180</v>
      </c>
      <c r="BV125" s="407">
        <v>497</v>
      </c>
      <c r="BW125" s="407">
        <v>223</v>
      </c>
      <c r="BX125" s="407">
        <v>247</v>
      </c>
      <c r="BY125" s="407">
        <v>95</v>
      </c>
      <c r="BZ125" s="407">
        <v>119</v>
      </c>
      <c r="CA125" s="407">
        <v>96</v>
      </c>
      <c r="CB125" s="407">
        <v>214</v>
      </c>
      <c r="CC125" s="407">
        <v>220</v>
      </c>
      <c r="CD125" s="407">
        <v>65</v>
      </c>
      <c r="CE125" s="407">
        <v>83</v>
      </c>
      <c r="CF125" s="407">
        <v>30</v>
      </c>
      <c r="CG125" s="407">
        <v>731</v>
      </c>
      <c r="CH125" s="407">
        <v>500</v>
      </c>
      <c r="CI125" s="407">
        <v>119</v>
      </c>
      <c r="CJ125" s="407">
        <v>237</v>
      </c>
      <c r="CK125" s="407">
        <v>381</v>
      </c>
      <c r="CL125" s="407">
        <v>8009</v>
      </c>
    </row>
    <row r="126" spans="1:90" s="80" customFormat="1" ht="11.25">
      <c r="B126" s="414" t="s">
        <v>256</v>
      </c>
      <c r="C126" s="406">
        <v>2010</v>
      </c>
      <c r="D126" s="80" t="s">
        <v>14</v>
      </c>
      <c r="E126" s="418">
        <v>40652</v>
      </c>
      <c r="F126" s="407">
        <v>523578</v>
      </c>
      <c r="G126" s="407">
        <v>68098</v>
      </c>
      <c r="H126" s="407">
        <v>94291</v>
      </c>
      <c r="I126" s="407">
        <v>399368</v>
      </c>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c r="AU126" s="407">
        <v>12206</v>
      </c>
      <c r="AV126" s="407">
        <v>4039</v>
      </c>
      <c r="AW126" s="407">
        <v>15543</v>
      </c>
      <c r="AX126" s="407">
        <v>28660</v>
      </c>
      <c r="AY126" s="407">
        <v>9818</v>
      </c>
      <c r="AZ126" s="407" t="s">
        <v>252</v>
      </c>
      <c r="BA126" s="407">
        <v>23545</v>
      </c>
      <c r="BB126" s="407">
        <v>77858</v>
      </c>
      <c r="BC126" s="407">
        <v>208234</v>
      </c>
      <c r="BD126" s="407">
        <v>59852</v>
      </c>
      <c r="BE126" s="407">
        <v>31522</v>
      </c>
      <c r="BF126" s="407">
        <v>51804</v>
      </c>
      <c r="BG126" s="407" t="s">
        <v>252</v>
      </c>
      <c r="BH126" s="407">
        <v>793</v>
      </c>
      <c r="BI126" s="407">
        <v>5110</v>
      </c>
      <c r="BJ126" s="407">
        <v>3874</v>
      </c>
      <c r="BK126" s="407">
        <v>567</v>
      </c>
      <c r="BL126" s="407">
        <v>64</v>
      </c>
      <c r="BM126" s="407">
        <v>26778</v>
      </c>
      <c r="BN126" s="407">
        <v>14479</v>
      </c>
      <c r="BO126" s="407" t="s">
        <v>252</v>
      </c>
      <c r="BP126" s="407">
        <v>4065</v>
      </c>
      <c r="BQ126" s="407">
        <v>4983</v>
      </c>
      <c r="BR126" s="407">
        <v>7368</v>
      </c>
      <c r="BS126" s="407">
        <v>223</v>
      </c>
      <c r="BT126" s="407">
        <v>6205</v>
      </c>
      <c r="BU126" s="407">
        <v>4070</v>
      </c>
      <c r="BV126" s="407">
        <v>15514</v>
      </c>
      <c r="BW126" s="407">
        <v>26001</v>
      </c>
      <c r="BX126" s="407">
        <v>13716</v>
      </c>
      <c r="BY126" s="407">
        <v>6568</v>
      </c>
      <c r="BZ126" s="407">
        <v>12062</v>
      </c>
      <c r="CA126" s="407">
        <v>2689</v>
      </c>
      <c r="CB126" s="407">
        <v>7243</v>
      </c>
      <c r="CC126" s="407">
        <v>15086</v>
      </c>
      <c r="CD126" s="407">
        <v>10014</v>
      </c>
      <c r="CE126" s="407">
        <v>6150</v>
      </c>
      <c r="CF126" s="407">
        <v>12842</v>
      </c>
      <c r="CG126" s="407">
        <v>157728</v>
      </c>
      <c r="CH126" s="407">
        <v>98860</v>
      </c>
      <c r="CI126" s="407">
        <v>13491</v>
      </c>
      <c r="CJ126" s="407">
        <v>27942</v>
      </c>
      <c r="CK126" s="407">
        <v>57255</v>
      </c>
      <c r="CL126" s="407">
        <v>1085335</v>
      </c>
    </row>
  </sheetData>
  <phoneticPr fontId="0" type="noConversion"/>
  <printOptions horizontalCentered="1"/>
  <pageMargins left="0.39370078740157483" right="0.39370078740157483" top="0.59055118110236227" bottom="0.59055118110236227" header="0.51181102362204722" footer="0.39370078740157483"/>
  <pageSetup paperSize="8" scale="85" orientation="portrait" r:id="rId1"/>
  <headerFooter alignWithMargins="0"/>
  <rowBreaks count="1" manualBreakCount="1">
    <brk id="99" min="1" max="8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27"/>
  <sheetViews>
    <sheetView zoomScaleNormal="100" workbookViewId="0">
      <pane xSplit="5" ySplit="4" topLeftCell="F5" activePane="bottomRight" state="frozen"/>
      <selection activeCell="E106" sqref="E106"/>
      <selection pane="topRight" activeCell="E106" sqref="E106"/>
      <selection pane="bottomLeft" activeCell="E106" sqref="E106"/>
      <selection pane="bottomRight" activeCell="E106" sqref="E106"/>
    </sheetView>
  </sheetViews>
  <sheetFormatPr baseColWidth="10" defaultRowHeight="12.75"/>
  <cols>
    <col min="1" max="1" width="4" bestFit="1" customWidth="1"/>
    <col min="2" max="2" width="39" style="66" customWidth="1"/>
    <col min="3" max="3" width="6.85546875" style="238" customWidth="1"/>
    <col min="4" max="4" width="12.5703125" bestFit="1" customWidth="1"/>
    <col min="5" max="5" width="8.7109375" style="79" customWidth="1"/>
    <col min="6" max="89" width="11.42578125" style="166"/>
    <col min="90" max="90" width="17.85546875" style="166" bestFit="1" customWidth="1"/>
  </cols>
  <sheetData>
    <row r="1" spans="1:91" ht="13.5" thickBot="1">
      <c r="B1" s="81" t="s">
        <v>198</v>
      </c>
      <c r="E1" s="80"/>
    </row>
    <row r="2" spans="1:91">
      <c r="B2" s="94"/>
      <c r="C2" s="239"/>
      <c r="D2" s="96"/>
      <c r="E2" s="350" t="s">
        <v>215</v>
      </c>
      <c r="F2" s="167" t="s">
        <v>149</v>
      </c>
      <c r="G2" s="168" t="s">
        <v>149</v>
      </c>
      <c r="H2" s="168" t="s">
        <v>149</v>
      </c>
      <c r="I2" s="169" t="s">
        <v>149</v>
      </c>
      <c r="J2" s="168"/>
      <c r="K2" s="167" t="s">
        <v>167</v>
      </c>
      <c r="L2" s="168" t="s">
        <v>167</v>
      </c>
      <c r="M2" s="168" t="s">
        <v>167</v>
      </c>
      <c r="N2" s="168" t="s">
        <v>167</v>
      </c>
      <c r="O2" s="168" t="s">
        <v>167</v>
      </c>
      <c r="P2" s="168" t="s">
        <v>167</v>
      </c>
      <c r="Q2" s="168" t="s">
        <v>167</v>
      </c>
      <c r="R2" s="168" t="s">
        <v>167</v>
      </c>
      <c r="S2" s="168" t="s">
        <v>167</v>
      </c>
      <c r="T2" s="168" t="s">
        <v>167</v>
      </c>
      <c r="U2" s="170" t="s">
        <v>167</v>
      </c>
      <c r="V2" s="168" t="s">
        <v>167</v>
      </c>
      <c r="W2" s="168" t="s">
        <v>167</v>
      </c>
      <c r="X2" s="168" t="s">
        <v>167</v>
      </c>
      <c r="Y2" s="168" t="s">
        <v>167</v>
      </c>
      <c r="Z2" s="168" t="s">
        <v>167</v>
      </c>
      <c r="AA2" s="168" t="s">
        <v>167</v>
      </c>
      <c r="AB2" s="170" t="s">
        <v>167</v>
      </c>
      <c r="AC2" s="168" t="s">
        <v>167</v>
      </c>
      <c r="AD2" s="168" t="s">
        <v>167</v>
      </c>
      <c r="AE2" s="168" t="s">
        <v>167</v>
      </c>
      <c r="AF2" s="168" t="s">
        <v>167</v>
      </c>
      <c r="AG2" s="168" t="s">
        <v>167</v>
      </c>
      <c r="AH2" s="168" t="s">
        <v>167</v>
      </c>
      <c r="AI2" s="168" t="s">
        <v>167</v>
      </c>
      <c r="AJ2" s="168" t="s">
        <v>167</v>
      </c>
      <c r="AK2" s="170" t="s">
        <v>167</v>
      </c>
      <c r="AL2" s="168" t="s">
        <v>167</v>
      </c>
      <c r="AM2" s="168" t="s">
        <v>167</v>
      </c>
      <c r="AN2" s="168" t="s">
        <v>167</v>
      </c>
      <c r="AO2" s="168" t="s">
        <v>167</v>
      </c>
      <c r="AP2" s="168" t="s">
        <v>167</v>
      </c>
      <c r="AQ2" s="168" t="s">
        <v>167</v>
      </c>
      <c r="AR2" s="168" t="s">
        <v>167</v>
      </c>
      <c r="AS2" s="169" t="s">
        <v>167</v>
      </c>
      <c r="AT2" s="168" t="s">
        <v>111</v>
      </c>
      <c r="AU2" s="168" t="s">
        <v>112</v>
      </c>
      <c r="AV2" s="168" t="s">
        <v>112</v>
      </c>
      <c r="AW2" s="168" t="s">
        <v>112</v>
      </c>
      <c r="AX2" s="168" t="s">
        <v>112</v>
      </c>
      <c r="AY2" s="168" t="s">
        <v>112</v>
      </c>
      <c r="AZ2" s="168" t="s">
        <v>111</v>
      </c>
      <c r="BA2" s="168" t="s">
        <v>112</v>
      </c>
      <c r="BB2" s="168" t="s">
        <v>112</v>
      </c>
      <c r="BC2" s="168" t="s">
        <v>112</v>
      </c>
      <c r="BD2" s="168" t="s">
        <v>112</v>
      </c>
      <c r="BE2" s="168" t="s">
        <v>112</v>
      </c>
      <c r="BF2" s="170" t="s">
        <v>112</v>
      </c>
      <c r="BG2" s="168" t="s">
        <v>111</v>
      </c>
      <c r="BH2" s="168" t="s">
        <v>111</v>
      </c>
      <c r="BI2" s="168" t="s">
        <v>112</v>
      </c>
      <c r="BJ2" s="168" t="s">
        <v>112</v>
      </c>
      <c r="BK2" s="168" t="s">
        <v>111</v>
      </c>
      <c r="BL2" s="168" t="s">
        <v>111</v>
      </c>
      <c r="BM2" s="168" t="s">
        <v>112</v>
      </c>
      <c r="BN2" s="168" t="s">
        <v>112</v>
      </c>
      <c r="BO2" s="168" t="s">
        <v>111</v>
      </c>
      <c r="BP2" s="168" t="s">
        <v>112</v>
      </c>
      <c r="BQ2" s="168" t="s">
        <v>112</v>
      </c>
      <c r="BR2" s="170" t="s">
        <v>112</v>
      </c>
      <c r="BS2" s="168" t="s">
        <v>111</v>
      </c>
      <c r="BT2" s="168" t="s">
        <v>112</v>
      </c>
      <c r="BU2" s="168" t="s">
        <v>112</v>
      </c>
      <c r="BV2" s="168" t="s">
        <v>112</v>
      </c>
      <c r="BW2" s="168" t="s">
        <v>112</v>
      </c>
      <c r="BX2" s="168" t="s">
        <v>112</v>
      </c>
      <c r="BY2" s="168" t="s">
        <v>112</v>
      </c>
      <c r="BZ2" s="168" t="s">
        <v>112</v>
      </c>
      <c r="CA2" s="168" t="s">
        <v>112</v>
      </c>
      <c r="CB2" s="170" t="s">
        <v>112</v>
      </c>
      <c r="CC2" s="168" t="s">
        <v>112</v>
      </c>
      <c r="CD2" s="168" t="s">
        <v>112</v>
      </c>
      <c r="CE2" s="168" t="s">
        <v>112</v>
      </c>
      <c r="CF2" s="168" t="s">
        <v>111</v>
      </c>
      <c r="CG2" s="168" t="s">
        <v>112</v>
      </c>
      <c r="CH2" s="168" t="s">
        <v>112</v>
      </c>
      <c r="CI2" s="168" t="s">
        <v>112</v>
      </c>
      <c r="CJ2" s="168" t="s">
        <v>112</v>
      </c>
      <c r="CK2" s="169" t="s">
        <v>112</v>
      </c>
      <c r="CL2" s="171" t="s">
        <v>150</v>
      </c>
    </row>
    <row r="3" spans="1:91">
      <c r="B3" s="97" t="s">
        <v>102</v>
      </c>
      <c r="C3" s="240"/>
      <c r="D3" s="100"/>
      <c r="E3" s="99"/>
      <c r="F3" s="172" t="s">
        <v>110</v>
      </c>
      <c r="G3" s="173" t="s">
        <v>125</v>
      </c>
      <c r="H3" s="173" t="s">
        <v>132</v>
      </c>
      <c r="I3" s="174" t="s">
        <v>142</v>
      </c>
      <c r="J3" s="173"/>
      <c r="K3" s="290">
        <v>1101</v>
      </c>
      <c r="L3" s="291">
        <v>1110</v>
      </c>
      <c r="M3" s="291">
        <v>1121</v>
      </c>
      <c r="N3" s="291">
        <v>1130</v>
      </c>
      <c r="O3" s="291">
        <v>1140</v>
      </c>
      <c r="P3" s="291">
        <v>1150</v>
      </c>
      <c r="Q3" s="291">
        <v>1161</v>
      </c>
      <c r="R3" s="291">
        <v>1170</v>
      </c>
      <c r="S3" s="291">
        <v>1180</v>
      </c>
      <c r="T3" s="291">
        <v>1190</v>
      </c>
      <c r="U3" s="292">
        <v>1200</v>
      </c>
      <c r="V3" s="291">
        <v>2100</v>
      </c>
      <c r="W3" s="291">
        <v>2110</v>
      </c>
      <c r="X3" s="291">
        <v>2121</v>
      </c>
      <c r="Y3" s="291">
        <v>2131</v>
      </c>
      <c r="Z3" s="291">
        <v>2141</v>
      </c>
      <c r="AA3" s="291">
        <v>2150</v>
      </c>
      <c r="AB3" s="292">
        <v>2160</v>
      </c>
      <c r="AC3" s="291">
        <v>3100</v>
      </c>
      <c r="AD3" s="291">
        <v>3110</v>
      </c>
      <c r="AE3" s="291">
        <v>3120</v>
      </c>
      <c r="AF3" s="291">
        <v>3130</v>
      </c>
      <c r="AG3" s="291">
        <v>3140</v>
      </c>
      <c r="AH3" s="291">
        <v>3151</v>
      </c>
      <c r="AI3" s="291">
        <v>3160</v>
      </c>
      <c r="AJ3" s="291">
        <v>3170</v>
      </c>
      <c r="AK3" s="292">
        <v>3180</v>
      </c>
      <c r="AL3" s="291">
        <v>4100</v>
      </c>
      <c r="AM3" s="291">
        <v>4110</v>
      </c>
      <c r="AN3" s="291">
        <v>4120</v>
      </c>
      <c r="AO3" s="291">
        <v>4131</v>
      </c>
      <c r="AP3" s="291">
        <v>4140</v>
      </c>
      <c r="AQ3" s="291">
        <v>4150</v>
      </c>
      <c r="AR3" s="291">
        <v>4160</v>
      </c>
      <c r="AS3" s="293">
        <v>4170</v>
      </c>
      <c r="AT3" s="173" t="s">
        <v>110</v>
      </c>
      <c r="AU3" s="173" t="s">
        <v>114</v>
      </c>
      <c r="AV3" s="173" t="s">
        <v>115</v>
      </c>
      <c r="AW3" s="173" t="s">
        <v>116</v>
      </c>
      <c r="AX3" s="173" t="s">
        <v>113</v>
      </c>
      <c r="AY3" s="173" t="s">
        <v>117</v>
      </c>
      <c r="AZ3" s="173" t="s">
        <v>118</v>
      </c>
      <c r="BA3" s="173" t="s">
        <v>118</v>
      </c>
      <c r="BB3" s="173" t="s">
        <v>119</v>
      </c>
      <c r="BC3" s="173" t="s">
        <v>120</v>
      </c>
      <c r="BD3" s="173" t="s">
        <v>121</v>
      </c>
      <c r="BE3" s="173" t="s">
        <v>122</v>
      </c>
      <c r="BF3" s="175" t="s">
        <v>257</v>
      </c>
      <c r="BG3" s="173" t="s">
        <v>123</v>
      </c>
      <c r="BH3" s="173" t="s">
        <v>125</v>
      </c>
      <c r="BI3" s="173" t="s">
        <v>125</v>
      </c>
      <c r="BJ3" s="173" t="s">
        <v>124</v>
      </c>
      <c r="BK3" s="173" t="s">
        <v>126</v>
      </c>
      <c r="BL3" s="173" t="s">
        <v>127</v>
      </c>
      <c r="BM3" s="173" t="s">
        <v>128</v>
      </c>
      <c r="BN3" s="173" t="s">
        <v>126</v>
      </c>
      <c r="BO3" s="173" t="s">
        <v>129</v>
      </c>
      <c r="BP3" s="173" t="s">
        <v>130</v>
      </c>
      <c r="BQ3" s="173" t="s">
        <v>129</v>
      </c>
      <c r="BR3" s="175" t="s">
        <v>131</v>
      </c>
      <c r="BS3" s="173" t="s">
        <v>132</v>
      </c>
      <c r="BT3" s="173" t="s">
        <v>132</v>
      </c>
      <c r="BU3" s="173" t="s">
        <v>133</v>
      </c>
      <c r="BV3" s="173" t="s">
        <v>134</v>
      </c>
      <c r="BW3" s="173" t="s">
        <v>135</v>
      </c>
      <c r="BX3" s="173" t="s">
        <v>136</v>
      </c>
      <c r="BY3" s="173" t="s">
        <v>137</v>
      </c>
      <c r="BZ3" s="173" t="s">
        <v>138</v>
      </c>
      <c r="CA3" s="173" t="s">
        <v>139</v>
      </c>
      <c r="CB3" s="175" t="s">
        <v>140</v>
      </c>
      <c r="CC3" s="173" t="s">
        <v>141</v>
      </c>
      <c r="CD3" s="173" t="s">
        <v>142</v>
      </c>
      <c r="CE3" s="173" t="s">
        <v>143</v>
      </c>
      <c r="CF3" s="173" t="s">
        <v>144</v>
      </c>
      <c r="CG3" s="173" t="s">
        <v>144</v>
      </c>
      <c r="CH3" s="173" t="s">
        <v>145</v>
      </c>
      <c r="CI3" s="173" t="s">
        <v>146</v>
      </c>
      <c r="CJ3" s="173" t="s">
        <v>147</v>
      </c>
      <c r="CK3" s="174" t="s">
        <v>148</v>
      </c>
      <c r="CL3" s="176" t="s">
        <v>151</v>
      </c>
    </row>
    <row r="4" spans="1:91">
      <c r="B4" s="97"/>
      <c r="C4" s="240"/>
      <c r="D4" s="100"/>
      <c r="E4" s="99"/>
      <c r="F4" s="172" t="s">
        <v>163</v>
      </c>
      <c r="G4" s="173" t="s">
        <v>164</v>
      </c>
      <c r="H4" s="173" t="s">
        <v>165</v>
      </c>
      <c r="I4" s="174" t="s">
        <v>166</v>
      </c>
      <c r="J4" s="173"/>
      <c r="K4" s="172" t="s">
        <v>168</v>
      </c>
      <c r="L4" s="173" t="s">
        <v>169</v>
      </c>
      <c r="M4" s="173" t="s">
        <v>170</v>
      </c>
      <c r="N4" s="173" t="s">
        <v>27</v>
      </c>
      <c r="O4" s="173" t="s">
        <v>40</v>
      </c>
      <c r="P4" s="173" t="s">
        <v>244</v>
      </c>
      <c r="Q4" s="173" t="s">
        <v>219</v>
      </c>
      <c r="R4" s="173" t="s">
        <v>243</v>
      </c>
      <c r="S4" s="173" t="s">
        <v>218</v>
      </c>
      <c r="T4" s="173" t="s">
        <v>171</v>
      </c>
      <c r="U4" s="175" t="s">
        <v>172</v>
      </c>
      <c r="V4" s="173" t="s">
        <v>242</v>
      </c>
      <c r="W4" s="173" t="s">
        <v>173</v>
      </c>
      <c r="X4" s="173" t="s">
        <v>241</v>
      </c>
      <c r="Y4" s="173" t="s">
        <v>240</v>
      </c>
      <c r="Z4" s="173" t="s">
        <v>174</v>
      </c>
      <c r="AA4" s="173" t="s">
        <v>239</v>
      </c>
      <c r="AB4" s="175" t="s">
        <v>16</v>
      </c>
      <c r="AC4" s="173" t="s">
        <v>175</v>
      </c>
      <c r="AD4" s="173" t="s">
        <v>37</v>
      </c>
      <c r="AE4" s="173" t="s">
        <v>238</v>
      </c>
      <c r="AF4" s="173" t="s">
        <v>33</v>
      </c>
      <c r="AG4" s="173" t="s">
        <v>176</v>
      </c>
      <c r="AH4" s="173" t="s">
        <v>177</v>
      </c>
      <c r="AI4" s="173" t="s">
        <v>36</v>
      </c>
      <c r="AJ4" s="173" t="s">
        <v>35</v>
      </c>
      <c r="AK4" s="175" t="s">
        <v>32</v>
      </c>
      <c r="AL4" s="173" t="s">
        <v>178</v>
      </c>
      <c r="AM4" s="173" t="s">
        <v>25</v>
      </c>
      <c r="AN4" s="173" t="s">
        <v>29</v>
      </c>
      <c r="AO4" s="173" t="s">
        <v>179</v>
      </c>
      <c r="AP4" s="173" t="s">
        <v>30</v>
      </c>
      <c r="AQ4" s="173" t="s">
        <v>24</v>
      </c>
      <c r="AR4" s="173" t="s">
        <v>180</v>
      </c>
      <c r="AS4" s="174" t="s">
        <v>237</v>
      </c>
      <c r="AT4" s="173" t="s">
        <v>154</v>
      </c>
      <c r="AU4" s="173" t="s">
        <v>183</v>
      </c>
      <c r="AV4" s="173" t="s">
        <v>184</v>
      </c>
      <c r="AW4" s="173" t="s">
        <v>185</v>
      </c>
      <c r="AX4" s="173" t="s">
        <v>182</v>
      </c>
      <c r="AY4" s="173" t="s">
        <v>44</v>
      </c>
      <c r="AZ4" s="173" t="s">
        <v>152</v>
      </c>
      <c r="BA4" s="173" t="s">
        <v>153</v>
      </c>
      <c r="BB4" s="173" t="s">
        <v>45</v>
      </c>
      <c r="BC4" s="173" t="s">
        <v>26</v>
      </c>
      <c r="BD4" s="173" t="s">
        <v>46</v>
      </c>
      <c r="BE4" s="173" t="s">
        <v>186</v>
      </c>
      <c r="BF4" s="175" t="s">
        <v>39</v>
      </c>
      <c r="BG4" s="173" t="s">
        <v>155</v>
      </c>
      <c r="BH4" s="173" t="s">
        <v>156</v>
      </c>
      <c r="BI4" s="173" t="s">
        <v>157</v>
      </c>
      <c r="BJ4" s="173" t="s">
        <v>187</v>
      </c>
      <c r="BK4" s="173" t="s">
        <v>158</v>
      </c>
      <c r="BL4" s="173" t="s">
        <v>159</v>
      </c>
      <c r="BM4" s="173" t="s">
        <v>47</v>
      </c>
      <c r="BN4" s="173" t="s">
        <v>48</v>
      </c>
      <c r="BO4" s="173" t="s">
        <v>160</v>
      </c>
      <c r="BP4" s="173" t="s">
        <v>188</v>
      </c>
      <c r="BQ4" s="173" t="s">
        <v>41</v>
      </c>
      <c r="BR4" s="175" t="s">
        <v>38</v>
      </c>
      <c r="BS4" s="173" t="s">
        <v>161</v>
      </c>
      <c r="BT4" s="173" t="s">
        <v>213</v>
      </c>
      <c r="BU4" s="173" t="s">
        <v>189</v>
      </c>
      <c r="BV4" s="173" t="s">
        <v>28</v>
      </c>
      <c r="BW4" s="173" t="s">
        <v>190</v>
      </c>
      <c r="BX4" s="173" t="s">
        <v>49</v>
      </c>
      <c r="BY4" s="173" t="s">
        <v>191</v>
      </c>
      <c r="BZ4" s="173" t="s">
        <v>34</v>
      </c>
      <c r="CA4" s="173" t="s">
        <v>192</v>
      </c>
      <c r="CB4" s="175" t="s">
        <v>193</v>
      </c>
      <c r="CC4" s="173" t="s">
        <v>31</v>
      </c>
      <c r="CD4" s="173" t="s">
        <v>194</v>
      </c>
      <c r="CE4" s="173" t="s">
        <v>50</v>
      </c>
      <c r="CF4" s="173" t="s">
        <v>162</v>
      </c>
      <c r="CG4" s="173" t="s">
        <v>51</v>
      </c>
      <c r="CH4" s="173" t="s">
        <v>195</v>
      </c>
      <c r="CI4" s="173" t="s">
        <v>52</v>
      </c>
      <c r="CJ4" s="173" t="s">
        <v>196</v>
      </c>
      <c r="CK4" s="174" t="s">
        <v>197</v>
      </c>
      <c r="CL4" s="176" t="s">
        <v>55</v>
      </c>
    </row>
    <row r="5" spans="1:91">
      <c r="A5" s="93">
        <f>ROWS($A$3:A3)</f>
        <v>1</v>
      </c>
      <c r="B5" s="132"/>
      <c r="C5" s="133"/>
      <c r="D5" s="331"/>
      <c r="E5" s="331"/>
      <c r="F5" s="232">
        <f>COLUMNS($F$5:F5)</f>
        <v>1</v>
      </c>
      <c r="G5" s="232">
        <f>COLUMNS($F$5:G5)</f>
        <v>2</v>
      </c>
      <c r="H5" s="232">
        <f>COLUMNS($F$5:H5)</f>
        <v>3</v>
      </c>
      <c r="I5" s="233">
        <f>COLUMNS($F$5:I5)</f>
        <v>4</v>
      </c>
      <c r="J5" s="235">
        <f>COLUMNS($F$5:J5)</f>
        <v>5</v>
      </c>
      <c r="K5" s="232">
        <f>COLUMNS($F$5:K5)</f>
        <v>6</v>
      </c>
      <c r="L5" s="232">
        <f>COLUMNS($F$5:L5)</f>
        <v>7</v>
      </c>
      <c r="M5" s="232">
        <f>COLUMNS($F$5:M5)</f>
        <v>8</v>
      </c>
      <c r="N5" s="232">
        <f>COLUMNS($F$5:N5)</f>
        <v>9</v>
      </c>
      <c r="O5" s="232">
        <f>COLUMNS($F$5:O5)</f>
        <v>10</v>
      </c>
      <c r="P5" s="232">
        <f>COLUMNS($F$5:P5)</f>
        <v>11</v>
      </c>
      <c r="Q5" s="232">
        <f>COLUMNS($F$5:Q5)</f>
        <v>12</v>
      </c>
      <c r="R5" s="232">
        <f>COLUMNS($F$5:R5)</f>
        <v>13</v>
      </c>
      <c r="S5" s="232">
        <f>COLUMNS($F$5:S5)</f>
        <v>14</v>
      </c>
      <c r="T5" s="232">
        <f>COLUMNS($F$5:T5)</f>
        <v>15</v>
      </c>
      <c r="U5" s="234">
        <f>COLUMNS($F$5:U5)</f>
        <v>16</v>
      </c>
      <c r="V5" s="232">
        <f>COLUMNS($F$5:V5)</f>
        <v>17</v>
      </c>
      <c r="W5" s="232">
        <f>COLUMNS($F$5:W5)</f>
        <v>18</v>
      </c>
      <c r="X5" s="232">
        <f>COLUMNS($F$5:X5)</f>
        <v>19</v>
      </c>
      <c r="Y5" s="232">
        <f>COLUMNS($F$5:Y5)</f>
        <v>20</v>
      </c>
      <c r="Z5" s="232">
        <f>COLUMNS($F$5:Z5)</f>
        <v>21</v>
      </c>
      <c r="AA5" s="232">
        <f>COLUMNS($F$5:AA5)</f>
        <v>22</v>
      </c>
      <c r="AB5" s="234">
        <f>COLUMNS($F$5:AB5)</f>
        <v>23</v>
      </c>
      <c r="AC5" s="232">
        <f>COLUMNS($F$5:AC5)</f>
        <v>24</v>
      </c>
      <c r="AD5" s="232">
        <f>COLUMNS($F$5:AD5)</f>
        <v>25</v>
      </c>
      <c r="AE5" s="232">
        <f>COLUMNS($F$5:AE5)</f>
        <v>26</v>
      </c>
      <c r="AF5" s="232">
        <f>COLUMNS($F$5:AF5)</f>
        <v>27</v>
      </c>
      <c r="AG5" s="232">
        <f>COLUMNS($F$5:AG5)</f>
        <v>28</v>
      </c>
      <c r="AH5" s="232">
        <f>COLUMNS($F$5:AH5)</f>
        <v>29</v>
      </c>
      <c r="AI5" s="232">
        <f>COLUMNS($F$5:AI5)</f>
        <v>30</v>
      </c>
      <c r="AJ5" s="232">
        <f>COLUMNS($F$5:AJ5)</f>
        <v>31</v>
      </c>
      <c r="AK5" s="234">
        <f>COLUMNS($F$5:AK5)</f>
        <v>32</v>
      </c>
      <c r="AL5" s="232">
        <f>COLUMNS($F$5:AL5)</f>
        <v>33</v>
      </c>
      <c r="AM5" s="232">
        <f>COLUMNS($F$5:AM5)</f>
        <v>34</v>
      </c>
      <c r="AN5" s="232">
        <f>COLUMNS($F$5:AN5)</f>
        <v>35</v>
      </c>
      <c r="AO5" s="232">
        <f>COLUMNS($F$5:AO5)</f>
        <v>36</v>
      </c>
      <c r="AP5" s="232">
        <f>COLUMNS($F$5:AP5)</f>
        <v>37</v>
      </c>
      <c r="AQ5" s="232">
        <f>COLUMNS($F$5:AQ5)</f>
        <v>38</v>
      </c>
      <c r="AR5" s="232">
        <f>COLUMNS($F$5:AR5)</f>
        <v>39</v>
      </c>
      <c r="AS5" s="233">
        <f>COLUMNS($F$5:AS5)</f>
        <v>40</v>
      </c>
      <c r="AT5" s="232">
        <f>COLUMNS($F$5:AT5)</f>
        <v>41</v>
      </c>
      <c r="AU5" s="232">
        <f>COLUMNS($F$5:AU5)</f>
        <v>42</v>
      </c>
      <c r="AV5" s="232">
        <f>COLUMNS($F$5:AV5)</f>
        <v>43</v>
      </c>
      <c r="AW5" s="232">
        <f>COLUMNS($F$5:AW5)</f>
        <v>44</v>
      </c>
      <c r="AX5" s="232">
        <f>COLUMNS($F$5:AX5)</f>
        <v>45</v>
      </c>
      <c r="AY5" s="232">
        <f>COLUMNS($F$5:AY5)</f>
        <v>46</v>
      </c>
      <c r="AZ5" s="232">
        <f>COLUMNS($F$5:AZ5)</f>
        <v>47</v>
      </c>
      <c r="BA5" s="232">
        <f>COLUMNS($F$5:BA5)</f>
        <v>48</v>
      </c>
      <c r="BB5" s="232">
        <f>COLUMNS($F$5:BB5)</f>
        <v>49</v>
      </c>
      <c r="BC5" s="232">
        <f>COLUMNS($F$5:BC5)</f>
        <v>50</v>
      </c>
      <c r="BD5" s="232">
        <f>COLUMNS($F$5:BD5)</f>
        <v>51</v>
      </c>
      <c r="BE5" s="232">
        <f>COLUMNS($F$5:BE5)</f>
        <v>52</v>
      </c>
      <c r="BF5" s="234">
        <f>COLUMNS($F$5:BF5)</f>
        <v>53</v>
      </c>
      <c r="BG5" s="232">
        <f>COLUMNS($F$5:BG5)</f>
        <v>54</v>
      </c>
      <c r="BH5" s="232">
        <f>COLUMNS($F$5:BH5)</f>
        <v>55</v>
      </c>
      <c r="BI5" s="232">
        <f>COLUMNS($F$5:BI5)</f>
        <v>56</v>
      </c>
      <c r="BJ5" s="232">
        <f>COLUMNS($F$5:BJ5)</f>
        <v>57</v>
      </c>
      <c r="BK5" s="232">
        <f>COLUMNS($F$5:BK5)</f>
        <v>58</v>
      </c>
      <c r="BL5" s="232">
        <f>COLUMNS($F$5:BL5)</f>
        <v>59</v>
      </c>
      <c r="BM5" s="232">
        <f>COLUMNS($F$5:BM5)</f>
        <v>60</v>
      </c>
      <c r="BN5" s="232">
        <f>COLUMNS($F$5:BN5)</f>
        <v>61</v>
      </c>
      <c r="BO5" s="232">
        <f>COLUMNS($F$5:BO5)</f>
        <v>62</v>
      </c>
      <c r="BP5" s="232">
        <f>COLUMNS($F$5:BP5)</f>
        <v>63</v>
      </c>
      <c r="BQ5" s="232">
        <f>COLUMNS($F$5:BQ5)</f>
        <v>64</v>
      </c>
      <c r="BR5" s="234">
        <f>COLUMNS($F$5:BR5)</f>
        <v>65</v>
      </c>
      <c r="BS5" s="232">
        <f>COLUMNS($F$5:BS5)</f>
        <v>66</v>
      </c>
      <c r="BT5" s="232">
        <f>COLUMNS($F$5:BT5)</f>
        <v>67</v>
      </c>
      <c r="BU5" s="232">
        <f>COLUMNS($F$5:BU5)</f>
        <v>68</v>
      </c>
      <c r="BV5" s="232">
        <f>COLUMNS($F$5:BV5)</f>
        <v>69</v>
      </c>
      <c r="BW5" s="232">
        <f>COLUMNS($F$5:BW5)</f>
        <v>70</v>
      </c>
      <c r="BX5" s="232">
        <f>COLUMNS($F$5:BX5)</f>
        <v>71</v>
      </c>
      <c r="BY5" s="232">
        <f>COLUMNS($F$5:BY5)</f>
        <v>72</v>
      </c>
      <c r="BZ5" s="232">
        <f>COLUMNS($F$5:BZ5)</f>
        <v>73</v>
      </c>
      <c r="CA5" s="232">
        <f>COLUMNS($F$5:CA5)</f>
        <v>74</v>
      </c>
      <c r="CB5" s="234">
        <f>COLUMNS($F$5:CB5)</f>
        <v>75</v>
      </c>
      <c r="CC5" s="232">
        <f>COLUMNS($F$5:CC5)</f>
        <v>76</v>
      </c>
      <c r="CD5" s="232">
        <f>COLUMNS($F$5:CD5)</f>
        <v>77</v>
      </c>
      <c r="CE5" s="232">
        <f>COLUMNS($F$5:CE5)</f>
        <v>78</v>
      </c>
      <c r="CF5" s="232">
        <f>COLUMNS($F$5:CF5)</f>
        <v>79</v>
      </c>
      <c r="CG5" s="232">
        <f>COLUMNS($F$5:CG5)</f>
        <v>80</v>
      </c>
      <c r="CH5" s="232">
        <f>COLUMNS($F$5:CH5)</f>
        <v>81</v>
      </c>
      <c r="CI5" s="232">
        <f>COLUMNS($F$5:CI5)</f>
        <v>82</v>
      </c>
      <c r="CJ5" s="232">
        <f>COLUMNS($F$5:CJ5)</f>
        <v>83</v>
      </c>
      <c r="CK5" s="233">
        <f>COLUMNS($F$5:CK5)</f>
        <v>84</v>
      </c>
      <c r="CL5" s="233">
        <f>COLUMNS($F$5:CL5)</f>
        <v>85</v>
      </c>
      <c r="CM5" s="131"/>
    </row>
    <row r="6" spans="1:91">
      <c r="A6" s="93">
        <f>ROWS($A$3:A4)</f>
        <v>2</v>
      </c>
      <c r="B6" s="67" t="s">
        <v>108</v>
      </c>
      <c r="C6" s="241"/>
      <c r="D6" s="332"/>
      <c r="E6" s="333"/>
      <c r="F6" s="156"/>
      <c r="G6" s="177"/>
      <c r="H6" s="177"/>
      <c r="I6" s="178"/>
      <c r="J6" s="177"/>
      <c r="K6" s="156"/>
      <c r="L6" s="177"/>
      <c r="M6" s="177"/>
      <c r="N6" s="177"/>
      <c r="O6" s="177"/>
      <c r="P6" s="177"/>
      <c r="Q6" s="177"/>
      <c r="R6" s="177"/>
      <c r="S6" s="177"/>
      <c r="T6" s="177"/>
      <c r="U6" s="179"/>
      <c r="V6" s="177"/>
      <c r="W6" s="177"/>
      <c r="X6" s="177"/>
      <c r="Y6" s="177"/>
      <c r="Z6" s="177"/>
      <c r="AA6" s="177"/>
      <c r="AB6" s="179"/>
      <c r="AC6" s="177"/>
      <c r="AD6" s="177"/>
      <c r="AE6" s="177"/>
      <c r="AF6" s="177"/>
      <c r="AG6" s="177"/>
      <c r="AH6" s="177"/>
      <c r="AI6" s="177"/>
      <c r="AJ6" s="177"/>
      <c r="AK6" s="179"/>
      <c r="AL6" s="177"/>
      <c r="AM6" s="177"/>
      <c r="AN6" s="177"/>
      <c r="AO6" s="177"/>
      <c r="AP6" s="177"/>
      <c r="AQ6" s="177"/>
      <c r="AR6" s="177"/>
      <c r="AS6" s="178"/>
      <c r="AT6" s="177"/>
      <c r="AU6" s="177"/>
      <c r="AV6" s="177"/>
      <c r="AW6" s="177"/>
      <c r="AX6" s="177"/>
      <c r="AY6" s="177"/>
      <c r="AZ6" s="177"/>
      <c r="BA6" s="177"/>
      <c r="BB6" s="177"/>
      <c r="BC6" s="177"/>
      <c r="BD6" s="177"/>
      <c r="BE6" s="177"/>
      <c r="BF6" s="179"/>
      <c r="BG6" s="177"/>
      <c r="BH6" s="177"/>
      <c r="BI6" s="177"/>
      <c r="BJ6" s="177"/>
      <c r="BK6" s="177"/>
      <c r="BL6" s="177"/>
      <c r="BM6" s="177"/>
      <c r="BN6" s="177"/>
      <c r="BO6" s="177"/>
      <c r="BP6" s="177"/>
      <c r="BQ6" s="177"/>
      <c r="BR6" s="179"/>
      <c r="BS6" s="177"/>
      <c r="BT6" s="177"/>
      <c r="BU6" s="177"/>
      <c r="BV6" s="177"/>
      <c r="BW6" s="177"/>
      <c r="BX6" s="177"/>
      <c r="BY6" s="177"/>
      <c r="BZ6" s="177"/>
      <c r="CA6" s="177"/>
      <c r="CB6" s="179"/>
      <c r="CC6" s="177"/>
      <c r="CD6" s="177"/>
      <c r="CE6" s="177"/>
      <c r="CF6" s="177"/>
      <c r="CG6" s="177"/>
      <c r="CH6" s="177"/>
      <c r="CI6" s="177"/>
      <c r="CJ6" s="177"/>
      <c r="CK6" s="178"/>
      <c r="CL6" s="180"/>
    </row>
    <row r="7" spans="1:91">
      <c r="A7" s="93">
        <f>ROWS($A$3:A5)</f>
        <v>3</v>
      </c>
      <c r="B7" s="106" t="s">
        <v>63</v>
      </c>
      <c r="C7" s="242">
        <v>2001</v>
      </c>
      <c r="D7" s="314" t="s">
        <v>1</v>
      </c>
      <c r="E7" s="333"/>
      <c r="F7" s="156">
        <v>1055761</v>
      </c>
      <c r="G7" s="177">
        <v>691916</v>
      </c>
      <c r="H7" s="177">
        <v>934679</v>
      </c>
      <c r="I7" s="178">
        <v>891777</v>
      </c>
      <c r="J7" s="181"/>
      <c r="K7" s="156">
        <f t="shared" ref="K7:K20" si="0">BF7</f>
        <v>151157</v>
      </c>
      <c r="L7" s="177">
        <f t="shared" ref="L7:L20" si="1">AY7</f>
        <v>85814</v>
      </c>
      <c r="M7" s="177">
        <f t="shared" ref="M7:M20" si="2">BD7</f>
        <v>130443</v>
      </c>
      <c r="N7" s="177">
        <f t="shared" ref="N7:N20" si="3">AW7</f>
        <v>64233</v>
      </c>
      <c r="O7" s="177">
        <f t="shared" ref="O7:O20" si="4">BE7</f>
        <v>62713</v>
      </c>
      <c r="P7" s="177">
        <f>AZ7+BA7</f>
        <v>119979</v>
      </c>
      <c r="Q7" s="177">
        <f>'2001'!AU7</f>
        <v>61783</v>
      </c>
      <c r="R7" s="177">
        <f t="shared" ref="R7:R13" si="5">AT7+AX7</f>
        <v>89417</v>
      </c>
      <c r="S7" s="177">
        <f t="shared" ref="S7:S20" si="6">AV7</f>
        <v>64144</v>
      </c>
      <c r="T7" s="177">
        <f t="shared" ref="T7:T20" si="7">BB7</f>
        <v>77676</v>
      </c>
      <c r="U7" s="179">
        <f t="shared" ref="U7:U20" si="8">BC7</f>
        <v>148403</v>
      </c>
      <c r="V7" s="177">
        <f t="shared" ref="V7:V13" si="9">BG7+BJ7</f>
        <v>87901</v>
      </c>
      <c r="W7" s="177">
        <f t="shared" ref="W7:W20" si="10">BR7</f>
        <v>87065</v>
      </c>
      <c r="X7" s="177">
        <f t="shared" ref="X7:X13" si="11">BH7+BI7</f>
        <v>125842</v>
      </c>
      <c r="Y7" s="177">
        <f t="shared" ref="Y7:Y13" si="12">BK7+BL7+BN7</f>
        <v>131550</v>
      </c>
      <c r="Z7" s="177">
        <f t="shared" ref="Z7:Z20" si="13">BM7</f>
        <v>112632</v>
      </c>
      <c r="AA7" s="177">
        <f t="shared" ref="AA7:AA13" si="14">BO7+BQ7</f>
        <v>67172</v>
      </c>
      <c r="AB7" s="179">
        <f t="shared" ref="AB7:AB20" si="15">BP7</f>
        <v>79753</v>
      </c>
      <c r="AC7" s="177">
        <f t="shared" ref="AC7:AC20" si="16">BX7</f>
        <v>102524</v>
      </c>
      <c r="AD7" s="177">
        <f t="shared" ref="AD7:AD20" si="17">BU7</f>
        <v>67990</v>
      </c>
      <c r="AE7" s="177">
        <f t="shared" ref="AE7:AE13" si="18">BS7+BT7</f>
        <v>153140</v>
      </c>
      <c r="AF7" s="177">
        <f t="shared" ref="AF7:AF20" si="19">CA7</f>
        <v>80681</v>
      </c>
      <c r="AG7" s="177">
        <f t="shared" ref="AG7:AG20" si="20">BV7</f>
        <v>186071</v>
      </c>
      <c r="AH7" s="177">
        <f t="shared" ref="AH7:AH20" si="21">BZ7</f>
        <v>81776</v>
      </c>
      <c r="AI7" s="177">
        <f t="shared" ref="AI7:AI20" si="22">BW7</f>
        <v>76943</v>
      </c>
      <c r="AJ7" s="177">
        <f t="shared" ref="AJ7:AJ20" si="23">BY7</f>
        <v>73435</v>
      </c>
      <c r="AK7" s="179">
        <f t="shared" ref="AK7:AK20" si="24">CB7</f>
        <v>113117</v>
      </c>
      <c r="AL7" s="177">
        <f t="shared" ref="AL7:AL20" si="25">CE7</f>
        <v>91773</v>
      </c>
      <c r="AM7" s="177">
        <f t="shared" ref="AM7:AM20" si="26">CH7</f>
        <v>140984</v>
      </c>
      <c r="AN7" s="177">
        <f t="shared" ref="AN7:AN20" si="27">CJ7</f>
        <v>163181</v>
      </c>
      <c r="AO7" s="177">
        <f t="shared" ref="AO7:AO20" si="28">CC7</f>
        <v>109410</v>
      </c>
      <c r="AP7" s="177">
        <f t="shared" ref="AP7:AP20" si="29">CD7</f>
        <v>51916</v>
      </c>
      <c r="AQ7" s="177">
        <f t="shared" ref="AQ7:AQ20" si="30">CK7</f>
        <v>120435</v>
      </c>
      <c r="AR7" s="177">
        <f t="shared" ref="AR7:AR20" si="31">CI7</f>
        <v>66478</v>
      </c>
      <c r="AS7" s="178">
        <f t="shared" ref="AS7:AS13" si="32">CF7+CG7</f>
        <v>147601</v>
      </c>
      <c r="AT7" s="177">
        <v>20736</v>
      </c>
      <c r="AU7" s="177">
        <v>61783</v>
      </c>
      <c r="AV7" s="177">
        <v>64144</v>
      </c>
      <c r="AW7" s="181">
        <f>27816+36417</f>
        <v>64233</v>
      </c>
      <c r="AX7" s="177">
        <v>68681</v>
      </c>
      <c r="AY7" s="177">
        <f>34478+30982+20354</f>
        <v>85814</v>
      </c>
      <c r="AZ7" s="166">
        <v>9988</v>
      </c>
      <c r="BA7" s="177">
        <f>82825+37154-AZ7</f>
        <v>109991</v>
      </c>
      <c r="BB7" s="177">
        <v>77676</v>
      </c>
      <c r="BC7" s="177">
        <f>74662+73741</f>
        <v>148403</v>
      </c>
      <c r="BD7" s="177">
        <f>64794+48308+17341</f>
        <v>130443</v>
      </c>
      <c r="BE7" s="177">
        <v>62713</v>
      </c>
      <c r="BF7" s="179">
        <f>63287+45635+42235</f>
        <v>151157</v>
      </c>
      <c r="BG7" s="177">
        <v>14018</v>
      </c>
      <c r="BH7" s="177">
        <v>17346</v>
      </c>
      <c r="BI7" s="177">
        <v>108496</v>
      </c>
      <c r="BJ7" s="177">
        <v>73883</v>
      </c>
      <c r="BK7" s="177">
        <v>10883</v>
      </c>
      <c r="BL7" s="177">
        <v>14496</v>
      </c>
      <c r="BM7" s="177">
        <f>68589+37124+6919</f>
        <v>112632</v>
      </c>
      <c r="BN7" s="177">
        <v>106171</v>
      </c>
      <c r="BO7" s="177">
        <v>9784</v>
      </c>
      <c r="BP7" s="177">
        <f>22323+28971+28459</f>
        <v>79753</v>
      </c>
      <c r="BQ7" s="177">
        <f>16704+50468-BO7</f>
        <v>57388</v>
      </c>
      <c r="BR7" s="179">
        <f>69974+17091</f>
        <v>87065</v>
      </c>
      <c r="BS7" s="177">
        <v>15306</v>
      </c>
      <c r="BT7" s="177">
        <f>21053+12938+53676+19561+45912-BS7</f>
        <v>137834</v>
      </c>
      <c r="BU7" s="177">
        <v>67990</v>
      </c>
      <c r="BV7" s="177">
        <v>186071</v>
      </c>
      <c r="BW7" s="177">
        <f>49665+27278</f>
        <v>76943</v>
      </c>
      <c r="BX7" s="177">
        <f>32395+70129</f>
        <v>102524</v>
      </c>
      <c r="BY7" s="177">
        <v>73435</v>
      </c>
      <c r="BZ7" s="177">
        <v>81776</v>
      </c>
      <c r="CA7" s="177">
        <f>27032+10024+38187+5438</f>
        <v>80681</v>
      </c>
      <c r="CB7" s="179">
        <f>22805+90312</f>
        <v>113117</v>
      </c>
      <c r="CC7" s="177">
        <v>109410</v>
      </c>
      <c r="CD7" s="177">
        <f>19876+32040</f>
        <v>51916</v>
      </c>
      <c r="CE7" s="177">
        <f>33136+24015+34622</f>
        <v>91773</v>
      </c>
      <c r="CF7" s="177">
        <v>11869</v>
      </c>
      <c r="CG7" s="177">
        <f>35219+38044+74338-CF7</f>
        <v>135732</v>
      </c>
      <c r="CH7" s="177">
        <f>79647+20275+41062</f>
        <v>140984</v>
      </c>
      <c r="CI7" s="177">
        <f>39775+26703</f>
        <v>66478</v>
      </c>
      <c r="CJ7" s="177">
        <v>163181</v>
      </c>
      <c r="CK7" s="178">
        <v>120435</v>
      </c>
      <c r="CL7" s="180">
        <v>3575130</v>
      </c>
      <c r="CM7" s="56"/>
    </row>
    <row r="8" spans="1:91" ht="14.25">
      <c r="A8" s="93">
        <f>ROWS($A$3:A6)</f>
        <v>4</v>
      </c>
      <c r="B8" s="106" t="s">
        <v>261</v>
      </c>
      <c r="C8" s="243"/>
      <c r="D8" s="314" t="s">
        <v>1</v>
      </c>
      <c r="E8" s="333"/>
      <c r="F8" s="156">
        <v>160537</v>
      </c>
      <c r="G8" s="177">
        <v>105362</v>
      </c>
      <c r="H8" s="177">
        <v>105193</v>
      </c>
      <c r="I8" s="178">
        <v>100733</v>
      </c>
      <c r="J8" s="181"/>
      <c r="K8" s="156">
        <f t="shared" si="0"/>
        <v>17238</v>
      </c>
      <c r="L8" s="177">
        <f t="shared" si="1"/>
        <v>13993</v>
      </c>
      <c r="M8" s="177">
        <f t="shared" si="2"/>
        <v>13298</v>
      </c>
      <c r="N8" s="177">
        <f t="shared" si="3"/>
        <v>10047</v>
      </c>
      <c r="O8" s="177">
        <f t="shared" si="4"/>
        <v>7235</v>
      </c>
      <c r="P8" s="177">
        <f t="shared" ref="P8:P20" si="33">AZ8+BA8</f>
        <v>20383</v>
      </c>
      <c r="Q8" s="177">
        <f>'2001'!AU8</f>
        <v>12830</v>
      </c>
      <c r="R8" s="177">
        <f t="shared" si="5"/>
        <v>25751</v>
      </c>
      <c r="S8" s="177">
        <f t="shared" si="6"/>
        <v>14827</v>
      </c>
      <c r="T8" s="177">
        <f t="shared" si="7"/>
        <v>9362</v>
      </c>
      <c r="U8" s="179">
        <f t="shared" si="8"/>
        <v>15573</v>
      </c>
      <c r="V8" s="177">
        <f t="shared" si="9"/>
        <v>11848</v>
      </c>
      <c r="W8" s="177">
        <f t="shared" si="10"/>
        <v>7996</v>
      </c>
      <c r="X8" s="177">
        <f t="shared" si="11"/>
        <v>25124</v>
      </c>
      <c r="Y8" s="177">
        <f t="shared" si="12"/>
        <v>30163</v>
      </c>
      <c r="Z8" s="177">
        <f t="shared" si="13"/>
        <v>11144</v>
      </c>
      <c r="AA8" s="177">
        <f t="shared" si="14"/>
        <v>10988</v>
      </c>
      <c r="AB8" s="179">
        <f t="shared" si="15"/>
        <v>8099</v>
      </c>
      <c r="AC8" s="177">
        <f t="shared" si="16"/>
        <v>11021</v>
      </c>
      <c r="AD8" s="177">
        <f t="shared" si="17"/>
        <v>6816</v>
      </c>
      <c r="AE8" s="177">
        <f t="shared" si="18"/>
        <v>18245</v>
      </c>
      <c r="AF8" s="177">
        <f t="shared" si="19"/>
        <v>9450</v>
      </c>
      <c r="AG8" s="177">
        <f t="shared" si="20"/>
        <v>20098</v>
      </c>
      <c r="AH8" s="177">
        <f t="shared" si="21"/>
        <v>11666</v>
      </c>
      <c r="AI8" s="177">
        <f t="shared" si="22"/>
        <v>9140</v>
      </c>
      <c r="AJ8" s="177">
        <f t="shared" si="23"/>
        <v>7937</v>
      </c>
      <c r="AK8" s="179">
        <f t="shared" si="24"/>
        <v>10827</v>
      </c>
      <c r="AL8" s="177">
        <f t="shared" si="25"/>
        <v>11569</v>
      </c>
      <c r="AM8" s="177">
        <f t="shared" si="26"/>
        <v>14713</v>
      </c>
      <c r="AN8" s="177">
        <f t="shared" si="27"/>
        <v>15433</v>
      </c>
      <c r="AO8" s="177">
        <f t="shared" si="28"/>
        <v>12776</v>
      </c>
      <c r="AP8" s="177">
        <f t="shared" si="29"/>
        <v>8684</v>
      </c>
      <c r="AQ8" s="177">
        <f t="shared" si="30"/>
        <v>11056</v>
      </c>
      <c r="AR8" s="177">
        <f t="shared" si="31"/>
        <v>8926</v>
      </c>
      <c r="AS8" s="178">
        <f t="shared" si="32"/>
        <v>17576</v>
      </c>
      <c r="AT8" s="177">
        <v>10340</v>
      </c>
      <c r="AU8" s="177">
        <v>12830</v>
      </c>
      <c r="AV8" s="177">
        <v>14827</v>
      </c>
      <c r="AW8" s="181">
        <v>10047</v>
      </c>
      <c r="AX8" s="177">
        <v>15411</v>
      </c>
      <c r="AY8" s="177">
        <v>13993</v>
      </c>
      <c r="AZ8" s="166">
        <v>3440</v>
      </c>
      <c r="BA8" s="177">
        <f>14993+5390-AZ8</f>
        <v>16943</v>
      </c>
      <c r="BB8" s="177">
        <f>5449+3913</f>
        <v>9362</v>
      </c>
      <c r="BC8" s="177">
        <f>7969+7604</f>
        <v>15573</v>
      </c>
      <c r="BD8" s="177">
        <f>6282+4904+2112</f>
        <v>13298</v>
      </c>
      <c r="BE8" s="177">
        <v>7235</v>
      </c>
      <c r="BF8" s="179">
        <v>17238</v>
      </c>
      <c r="BG8" s="177">
        <v>1999</v>
      </c>
      <c r="BH8" s="177">
        <v>7632</v>
      </c>
      <c r="BI8" s="177">
        <v>17492</v>
      </c>
      <c r="BJ8" s="177">
        <f>2703+3241+2112+3792-BG8</f>
        <v>9849</v>
      </c>
      <c r="BK8" s="177">
        <v>3164</v>
      </c>
      <c r="BL8" s="177">
        <v>7967</v>
      </c>
      <c r="BM8" s="177">
        <v>11144</v>
      </c>
      <c r="BN8" s="177">
        <v>19032</v>
      </c>
      <c r="BO8" s="177">
        <v>2713</v>
      </c>
      <c r="BP8" s="177">
        <f>1353+3317+3429</f>
        <v>8099</v>
      </c>
      <c r="BQ8" s="177">
        <v>8275</v>
      </c>
      <c r="BR8" s="179">
        <v>7996</v>
      </c>
      <c r="BS8" s="177">
        <v>4695</v>
      </c>
      <c r="BT8" s="177">
        <f>2179+1953+8088+3180+2845-BS8</f>
        <v>13550</v>
      </c>
      <c r="BU8" s="177">
        <v>6816</v>
      </c>
      <c r="BV8" s="177">
        <v>20098</v>
      </c>
      <c r="BW8" s="177">
        <f>6625+2515</f>
        <v>9140</v>
      </c>
      <c r="BX8" s="177">
        <v>11021</v>
      </c>
      <c r="BY8" s="177">
        <v>7937</v>
      </c>
      <c r="BZ8" s="177">
        <f>2305+2210+1737+5414</f>
        <v>11666</v>
      </c>
      <c r="CA8" s="177">
        <v>9450</v>
      </c>
      <c r="CB8" s="179">
        <v>10827</v>
      </c>
      <c r="CC8" s="177">
        <v>12776</v>
      </c>
      <c r="CD8" s="177">
        <f>2742+5942</f>
        <v>8684</v>
      </c>
      <c r="CE8" s="177">
        <f>4046+3532+3991</f>
        <v>11569</v>
      </c>
      <c r="CF8" s="177">
        <v>3531</v>
      </c>
      <c r="CG8" s="177">
        <f>3522+3853+10201-CF8</f>
        <v>14045</v>
      </c>
      <c r="CH8" s="177">
        <f>8492+2800+3421</f>
        <v>14713</v>
      </c>
      <c r="CI8" s="177">
        <f>3096+5830</f>
        <v>8926</v>
      </c>
      <c r="CJ8" s="177">
        <v>15433</v>
      </c>
      <c r="CK8" s="178">
        <v>11056</v>
      </c>
      <c r="CL8" s="180">
        <v>471832</v>
      </c>
      <c r="CM8" s="56"/>
    </row>
    <row r="9" spans="1:91">
      <c r="A9" s="93">
        <f>ROWS($A$3:A7)</f>
        <v>5</v>
      </c>
      <c r="B9" s="106" t="s">
        <v>0</v>
      </c>
      <c r="C9" s="243"/>
      <c r="D9" s="314" t="s">
        <v>1</v>
      </c>
      <c r="E9" s="333"/>
      <c r="F9" s="156">
        <v>545782</v>
      </c>
      <c r="G9" s="177">
        <v>261054</v>
      </c>
      <c r="H9" s="177">
        <v>381529</v>
      </c>
      <c r="I9" s="178">
        <v>486340</v>
      </c>
      <c r="J9" s="181"/>
      <c r="K9" s="156">
        <f t="shared" si="0"/>
        <v>73456</v>
      </c>
      <c r="L9" s="177">
        <f t="shared" si="1"/>
        <v>37405</v>
      </c>
      <c r="M9" s="177">
        <f t="shared" si="2"/>
        <v>75960</v>
      </c>
      <c r="N9" s="177">
        <f t="shared" si="3"/>
        <v>32904</v>
      </c>
      <c r="O9" s="177">
        <f t="shared" si="4"/>
        <v>27807</v>
      </c>
      <c r="P9" s="177">
        <f t="shared" si="33"/>
        <v>68054</v>
      </c>
      <c r="Q9" s="177">
        <f>'2001'!AU9</f>
        <v>26697</v>
      </c>
      <c r="R9" s="177">
        <f t="shared" si="5"/>
        <v>44193</v>
      </c>
      <c r="S9" s="177">
        <f t="shared" si="6"/>
        <v>29641</v>
      </c>
      <c r="T9" s="177">
        <f t="shared" si="7"/>
        <v>45263</v>
      </c>
      <c r="U9" s="179">
        <f t="shared" si="8"/>
        <v>84402</v>
      </c>
      <c r="V9" s="177">
        <f t="shared" si="9"/>
        <v>26854</v>
      </c>
      <c r="W9" s="177">
        <f t="shared" si="10"/>
        <v>23509</v>
      </c>
      <c r="X9" s="177">
        <f t="shared" si="11"/>
        <v>55440</v>
      </c>
      <c r="Y9" s="177">
        <f t="shared" si="12"/>
        <v>53219</v>
      </c>
      <c r="Z9" s="177">
        <f t="shared" si="13"/>
        <v>52584</v>
      </c>
      <c r="AA9" s="177">
        <f t="shared" si="14"/>
        <v>28109</v>
      </c>
      <c r="AB9" s="179">
        <f t="shared" si="15"/>
        <v>21338</v>
      </c>
      <c r="AC9" s="177">
        <f t="shared" si="16"/>
        <v>43556</v>
      </c>
      <c r="AD9" s="177">
        <f t="shared" si="17"/>
        <v>28295</v>
      </c>
      <c r="AE9" s="177">
        <f t="shared" si="18"/>
        <v>59718</v>
      </c>
      <c r="AF9" s="177">
        <f t="shared" si="19"/>
        <v>28633</v>
      </c>
      <c r="AG9" s="177">
        <f t="shared" si="20"/>
        <v>73177</v>
      </c>
      <c r="AH9" s="177">
        <f t="shared" si="21"/>
        <v>41374</v>
      </c>
      <c r="AI9" s="177">
        <f t="shared" si="22"/>
        <v>34049</v>
      </c>
      <c r="AJ9" s="177">
        <f t="shared" si="23"/>
        <v>27886</v>
      </c>
      <c r="AK9" s="179">
        <f t="shared" si="24"/>
        <v>45055</v>
      </c>
      <c r="AL9" s="177">
        <f t="shared" si="25"/>
        <v>41384</v>
      </c>
      <c r="AM9" s="177">
        <f t="shared" si="26"/>
        <v>84182</v>
      </c>
      <c r="AN9" s="177">
        <f t="shared" si="27"/>
        <v>98273</v>
      </c>
      <c r="AO9" s="177">
        <f t="shared" si="28"/>
        <v>55543</v>
      </c>
      <c r="AP9" s="177">
        <f t="shared" si="29"/>
        <v>24499</v>
      </c>
      <c r="AQ9" s="177">
        <f t="shared" si="30"/>
        <v>59625</v>
      </c>
      <c r="AR9" s="177">
        <f t="shared" si="31"/>
        <v>37837</v>
      </c>
      <c r="AS9" s="178">
        <f t="shared" si="32"/>
        <v>84999</v>
      </c>
      <c r="AT9" s="177">
        <v>5039</v>
      </c>
      <c r="AU9" s="177">
        <f>10161+8886+7650</f>
        <v>26697</v>
      </c>
      <c r="AV9" s="177">
        <v>29641</v>
      </c>
      <c r="AW9" s="181">
        <v>32904</v>
      </c>
      <c r="AX9" s="177">
        <v>39154</v>
      </c>
      <c r="AY9" s="177">
        <v>37405</v>
      </c>
      <c r="AZ9" s="166">
        <v>4887</v>
      </c>
      <c r="BA9" s="177">
        <f>46856+21198-AZ9</f>
        <v>63167</v>
      </c>
      <c r="BB9" s="177">
        <f>29382+15881</f>
        <v>45263</v>
      </c>
      <c r="BC9" s="177">
        <f>47415+36987</f>
        <v>84402</v>
      </c>
      <c r="BD9" s="177">
        <f>39743+28442+7775</f>
        <v>75960</v>
      </c>
      <c r="BE9" s="177">
        <v>27807</v>
      </c>
      <c r="BF9" s="179">
        <f>29753+23157+20546</f>
        <v>73456</v>
      </c>
      <c r="BG9" s="177">
        <v>3182</v>
      </c>
      <c r="BH9" s="177">
        <v>4288</v>
      </c>
      <c r="BI9" s="177">
        <f>9453+22157+6329+17501-BH9</f>
        <v>51152</v>
      </c>
      <c r="BJ9" s="177">
        <f>5305+9037+3747+8765-BG9</f>
        <v>23672</v>
      </c>
      <c r="BK9" s="177">
        <v>3002</v>
      </c>
      <c r="BL9" s="177">
        <v>3676</v>
      </c>
      <c r="BM9" s="177">
        <v>52584</v>
      </c>
      <c r="BN9" s="177">
        <v>46541</v>
      </c>
      <c r="BO9" s="177">
        <v>1824</v>
      </c>
      <c r="BP9" s="177">
        <f>1989+8720+10629</f>
        <v>21338</v>
      </c>
      <c r="BQ9" s="177">
        <f>7626+20483-BO9</f>
        <v>26285</v>
      </c>
      <c r="BR9" s="179">
        <f>14137+9372</f>
        <v>23509</v>
      </c>
      <c r="BS9" s="177">
        <v>3795</v>
      </c>
      <c r="BT9" s="177">
        <v>55923</v>
      </c>
      <c r="BU9" s="177">
        <f>20975+7320</f>
        <v>28295</v>
      </c>
      <c r="BV9" s="177">
        <v>73177</v>
      </c>
      <c r="BW9" s="177">
        <v>34049</v>
      </c>
      <c r="BX9" s="177">
        <f>16391+27165</f>
        <v>43556</v>
      </c>
      <c r="BY9" s="177">
        <v>27886</v>
      </c>
      <c r="BZ9" s="177">
        <f>3366+5381+19593+13034</f>
        <v>41374</v>
      </c>
      <c r="CA9" s="177">
        <f>10637+3572+11554+2870</f>
        <v>28633</v>
      </c>
      <c r="CB9" s="179">
        <f>7691+37364</f>
        <v>45055</v>
      </c>
      <c r="CC9" s="177">
        <v>55543</v>
      </c>
      <c r="CD9" s="177">
        <v>24499</v>
      </c>
      <c r="CE9" s="177">
        <v>41384</v>
      </c>
      <c r="CF9" s="177">
        <v>5537</v>
      </c>
      <c r="CG9" s="177">
        <f>19442+22773+42784-CF9</f>
        <v>79462</v>
      </c>
      <c r="CH9" s="177">
        <f>47507+11836+24839</f>
        <v>84182</v>
      </c>
      <c r="CI9" s="177">
        <f>23125+14712</f>
        <v>37837</v>
      </c>
      <c r="CJ9" s="177">
        <v>98273</v>
      </c>
      <c r="CK9" s="178">
        <v>59625</v>
      </c>
      <c r="CL9" s="180">
        <v>1674917</v>
      </c>
      <c r="CM9" s="56"/>
    </row>
    <row r="10" spans="1:91">
      <c r="A10" s="93">
        <f>ROWS($A$3:A8)</f>
        <v>6</v>
      </c>
      <c r="B10" s="106" t="s">
        <v>216</v>
      </c>
      <c r="C10" s="243"/>
      <c r="D10" s="314" t="s">
        <v>1</v>
      </c>
      <c r="E10" s="333"/>
      <c r="F10" s="156">
        <v>332296</v>
      </c>
      <c r="G10" s="177">
        <v>309281</v>
      </c>
      <c r="H10" s="177">
        <v>428909</v>
      </c>
      <c r="I10" s="178">
        <v>287430</v>
      </c>
      <c r="J10" s="181"/>
      <c r="K10" s="156">
        <f t="shared" si="0"/>
        <v>58551</v>
      </c>
      <c r="L10" s="177">
        <f t="shared" si="1"/>
        <v>33517</v>
      </c>
      <c r="M10" s="177">
        <f t="shared" si="2"/>
        <v>38236</v>
      </c>
      <c r="N10" s="177">
        <f t="shared" si="3"/>
        <v>20508</v>
      </c>
      <c r="O10" s="177">
        <f t="shared" si="4"/>
        <v>27019</v>
      </c>
      <c r="P10" s="177">
        <f t="shared" si="33"/>
        <v>29293</v>
      </c>
      <c r="Q10" s="177">
        <f>'2001'!AU10</f>
        <v>21335</v>
      </c>
      <c r="R10" s="177">
        <f t="shared" si="5"/>
        <v>17336</v>
      </c>
      <c r="S10" s="177">
        <f t="shared" si="6"/>
        <v>18598</v>
      </c>
      <c r="T10" s="177">
        <f t="shared" si="7"/>
        <v>21630</v>
      </c>
      <c r="U10" s="179">
        <f t="shared" si="8"/>
        <v>46271</v>
      </c>
      <c r="V10" s="177">
        <f t="shared" si="9"/>
        <v>45907</v>
      </c>
      <c r="W10" s="177">
        <f t="shared" si="10"/>
        <v>54438</v>
      </c>
      <c r="X10" s="177">
        <f t="shared" si="11"/>
        <v>41125</v>
      </c>
      <c r="Y10" s="177">
        <f t="shared" si="12"/>
        <v>44204</v>
      </c>
      <c r="Z10" s="177">
        <f t="shared" si="13"/>
        <v>47249</v>
      </c>
      <c r="AA10" s="177">
        <f t="shared" si="14"/>
        <v>27083</v>
      </c>
      <c r="AB10" s="179">
        <f t="shared" si="15"/>
        <v>49274</v>
      </c>
      <c r="AC10" s="177">
        <f t="shared" si="16"/>
        <v>46796</v>
      </c>
      <c r="AD10" s="177">
        <f t="shared" si="17"/>
        <v>30993</v>
      </c>
      <c r="AE10" s="177">
        <f t="shared" si="18"/>
        <v>71545</v>
      </c>
      <c r="AF10" s="177">
        <f t="shared" si="19"/>
        <v>41299</v>
      </c>
      <c r="AG10" s="177">
        <f t="shared" si="20"/>
        <v>87300</v>
      </c>
      <c r="AH10" s="177">
        <f t="shared" si="21"/>
        <v>27024</v>
      </c>
      <c r="AI10" s="177">
        <f t="shared" si="22"/>
        <v>32618</v>
      </c>
      <c r="AJ10" s="177">
        <f t="shared" si="23"/>
        <v>36455</v>
      </c>
      <c r="AK10" s="179">
        <f t="shared" si="24"/>
        <v>55396</v>
      </c>
      <c r="AL10" s="177">
        <f t="shared" si="25"/>
        <v>37074</v>
      </c>
      <c r="AM10" s="177">
        <f t="shared" si="26"/>
        <v>39635</v>
      </c>
      <c r="AN10" s="177">
        <f t="shared" si="27"/>
        <v>46528</v>
      </c>
      <c r="AO10" s="177">
        <f t="shared" si="28"/>
        <v>39793</v>
      </c>
      <c r="AP10" s="177">
        <f t="shared" si="29"/>
        <v>17878</v>
      </c>
      <c r="AQ10" s="177">
        <f t="shared" si="30"/>
        <v>45715</v>
      </c>
      <c r="AR10" s="177">
        <f t="shared" si="31"/>
        <v>18604</v>
      </c>
      <c r="AS10" s="178">
        <f t="shared" si="32"/>
        <v>42203</v>
      </c>
      <c r="AT10" s="181">
        <v>4949</v>
      </c>
      <c r="AU10" s="181">
        <f>13008+3525+4802</f>
        <v>21335</v>
      </c>
      <c r="AV10" s="181">
        <v>18598</v>
      </c>
      <c r="AW10" s="181">
        <f>9540+10968</f>
        <v>20508</v>
      </c>
      <c r="AX10" s="181">
        <v>12387</v>
      </c>
      <c r="AY10" s="177">
        <f>15053+14742+3722</f>
        <v>33517</v>
      </c>
      <c r="AZ10" s="166">
        <v>1390</v>
      </c>
      <c r="BA10" s="177">
        <f>19616+9677-AZ10</f>
        <v>27903</v>
      </c>
      <c r="BB10" s="177">
        <f>13283+8347</f>
        <v>21630</v>
      </c>
      <c r="BC10" s="177">
        <f>18218+28053</f>
        <v>46271</v>
      </c>
      <c r="BD10" s="177">
        <f>17520+13764+6952</f>
        <v>38236</v>
      </c>
      <c r="BE10" s="177">
        <v>27019</v>
      </c>
      <c r="BF10" s="179">
        <v>58551</v>
      </c>
      <c r="BG10" s="177">
        <v>8617</v>
      </c>
      <c r="BH10" s="177">
        <v>4517</v>
      </c>
      <c r="BI10" s="177">
        <v>36608</v>
      </c>
      <c r="BJ10" s="177">
        <f>9887+5756+24312+5952-BG10</f>
        <v>37290</v>
      </c>
      <c r="BK10" s="177">
        <v>4414</v>
      </c>
      <c r="BL10" s="177">
        <v>1846</v>
      </c>
      <c r="BM10" s="177">
        <f>28905+14713+3631</f>
        <v>47249</v>
      </c>
      <c r="BN10" s="177">
        <v>37944</v>
      </c>
      <c r="BO10" s="177">
        <v>5085</v>
      </c>
      <c r="BP10" s="177">
        <f>18850+16449+13975</f>
        <v>49274</v>
      </c>
      <c r="BQ10" s="177">
        <f>6196+20887-BO10</f>
        <v>21998</v>
      </c>
      <c r="BR10" s="179">
        <v>54438</v>
      </c>
      <c r="BS10" s="177">
        <v>6505</v>
      </c>
      <c r="BT10" s="177">
        <v>65040</v>
      </c>
      <c r="BU10" s="177">
        <f>12486+18507</f>
        <v>30993</v>
      </c>
      <c r="BV10" s="177">
        <v>87300</v>
      </c>
      <c r="BW10" s="177">
        <f>18515+14103</f>
        <v>32618</v>
      </c>
      <c r="BX10" s="177">
        <v>46796</v>
      </c>
      <c r="BY10" s="177">
        <v>36455</v>
      </c>
      <c r="BZ10" s="177">
        <f>8620+3350+3929+11125</f>
        <v>27024</v>
      </c>
      <c r="CA10" s="177">
        <v>41299</v>
      </c>
      <c r="CB10" s="179">
        <f>43746+11650</f>
        <v>55396</v>
      </c>
      <c r="CC10" s="177">
        <v>39793</v>
      </c>
      <c r="CD10" s="177">
        <f>5803+12075</f>
        <v>17878</v>
      </c>
      <c r="CE10" s="177">
        <f>14438+8579+14057</f>
        <v>37074</v>
      </c>
      <c r="CF10" s="177">
        <v>2247</v>
      </c>
      <c r="CG10" s="177">
        <v>39956</v>
      </c>
      <c r="CH10" s="177">
        <f>22460+5189+11986</f>
        <v>39635</v>
      </c>
      <c r="CI10" s="177">
        <f>8520+10084</f>
        <v>18604</v>
      </c>
      <c r="CJ10" s="177">
        <v>46528</v>
      </c>
      <c r="CK10" s="178">
        <v>45715</v>
      </c>
      <c r="CL10" s="180">
        <v>1358434</v>
      </c>
      <c r="CM10" s="56"/>
    </row>
    <row r="11" spans="1:91">
      <c r="A11" s="93">
        <f>ROWS($A$3:A9)</f>
        <v>7</v>
      </c>
      <c r="B11" s="106" t="s">
        <v>2</v>
      </c>
      <c r="C11" s="243"/>
      <c r="D11" s="314" t="s">
        <v>1</v>
      </c>
      <c r="E11" s="333"/>
      <c r="F11" s="156">
        <v>8411</v>
      </c>
      <c r="G11" s="177">
        <v>8863</v>
      </c>
      <c r="H11" s="177">
        <v>10770</v>
      </c>
      <c r="I11" s="178">
        <v>7491</v>
      </c>
      <c r="J11" s="181"/>
      <c r="K11" s="156">
        <f t="shared" si="0"/>
        <v>1055</v>
      </c>
      <c r="L11" s="177">
        <f t="shared" si="1"/>
        <v>497</v>
      </c>
      <c r="M11" s="177">
        <f t="shared" si="2"/>
        <v>1010</v>
      </c>
      <c r="N11" s="177">
        <f t="shared" si="3"/>
        <v>284</v>
      </c>
      <c r="O11" s="177">
        <f t="shared" si="4"/>
        <v>245</v>
      </c>
      <c r="P11" s="177">
        <f t="shared" si="33"/>
        <v>1366</v>
      </c>
      <c r="Q11" s="177">
        <f>'2001'!AU11</f>
        <v>240</v>
      </c>
      <c r="R11" s="177">
        <f t="shared" si="5"/>
        <v>1135</v>
      </c>
      <c r="S11" s="177">
        <f t="shared" si="6"/>
        <v>589</v>
      </c>
      <c r="T11" s="177">
        <f t="shared" si="7"/>
        <v>766</v>
      </c>
      <c r="U11" s="179">
        <f t="shared" si="8"/>
        <v>1185</v>
      </c>
      <c r="V11" s="177">
        <f t="shared" si="9"/>
        <v>1982</v>
      </c>
      <c r="W11" s="177">
        <f t="shared" si="10"/>
        <v>499</v>
      </c>
      <c r="X11" s="177">
        <f t="shared" si="11"/>
        <v>2416</v>
      </c>
      <c r="Y11" s="177">
        <f t="shared" si="12"/>
        <v>3547</v>
      </c>
      <c r="Z11" s="177">
        <f t="shared" si="13"/>
        <v>703</v>
      </c>
      <c r="AA11" s="177">
        <f t="shared" si="14"/>
        <v>381</v>
      </c>
      <c r="AB11" s="179">
        <f t="shared" si="15"/>
        <v>315</v>
      </c>
      <c r="AC11" s="177">
        <f t="shared" si="16"/>
        <v>630</v>
      </c>
      <c r="AD11" s="177">
        <f t="shared" si="17"/>
        <v>906</v>
      </c>
      <c r="AE11" s="177">
        <f t="shared" si="18"/>
        <v>2067</v>
      </c>
      <c r="AF11" s="177">
        <f t="shared" si="19"/>
        <v>904</v>
      </c>
      <c r="AG11" s="177">
        <f t="shared" si="20"/>
        <v>3200</v>
      </c>
      <c r="AH11" s="177">
        <f t="shared" si="21"/>
        <v>889</v>
      </c>
      <c r="AI11" s="177">
        <f t="shared" si="22"/>
        <v>423</v>
      </c>
      <c r="AJ11" s="177">
        <f t="shared" si="23"/>
        <v>339</v>
      </c>
      <c r="AK11" s="179">
        <f t="shared" si="24"/>
        <v>1413</v>
      </c>
      <c r="AL11" s="177">
        <f t="shared" si="25"/>
        <v>352</v>
      </c>
      <c r="AM11" s="177">
        <f t="shared" si="26"/>
        <v>1469</v>
      </c>
      <c r="AN11" s="177">
        <f t="shared" si="27"/>
        <v>1973</v>
      </c>
      <c r="AO11" s="177">
        <f t="shared" si="28"/>
        <v>188</v>
      </c>
      <c r="AP11" s="177">
        <f t="shared" si="29"/>
        <v>459</v>
      </c>
      <c r="AQ11" s="177">
        <f t="shared" si="30"/>
        <v>885</v>
      </c>
      <c r="AR11" s="177">
        <f t="shared" si="31"/>
        <v>688</v>
      </c>
      <c r="AS11" s="178">
        <f t="shared" si="32"/>
        <v>1174</v>
      </c>
      <c r="AT11" s="304">
        <v>270</v>
      </c>
      <c r="AU11" s="304">
        <f>139+35+66</f>
        <v>240</v>
      </c>
      <c r="AV11" s="304">
        <f>259+127+203</f>
        <v>589</v>
      </c>
      <c r="AW11" s="304">
        <f>62+222</f>
        <v>284</v>
      </c>
      <c r="AX11" s="304">
        <f>353+400+112</f>
        <v>865</v>
      </c>
      <c r="AY11" s="304">
        <f>180+197+120</f>
        <v>497</v>
      </c>
      <c r="AZ11" s="307">
        <v>218</v>
      </c>
      <c r="BA11" s="304">
        <f>851+515-AZ11</f>
        <v>1148</v>
      </c>
      <c r="BB11" s="304">
        <f>528+238</f>
        <v>766</v>
      </c>
      <c r="BC11" s="304">
        <f>595+590</f>
        <v>1185</v>
      </c>
      <c r="BD11" s="304">
        <f>313+316+381</f>
        <v>1010</v>
      </c>
      <c r="BE11" s="304">
        <v>245</v>
      </c>
      <c r="BF11" s="305">
        <f>322+494+239</f>
        <v>1055</v>
      </c>
      <c r="BG11" s="304">
        <v>81</v>
      </c>
      <c r="BH11" s="304">
        <v>662</v>
      </c>
      <c r="BI11" s="304">
        <f>63+908+74+1371-BH11</f>
        <v>1754</v>
      </c>
      <c r="BJ11" s="304">
        <f>266+591+254+871-BG11</f>
        <v>1901</v>
      </c>
      <c r="BK11" s="304">
        <v>252</v>
      </c>
      <c r="BL11" s="304">
        <v>727</v>
      </c>
      <c r="BM11" s="304">
        <f>241+335+127</f>
        <v>703</v>
      </c>
      <c r="BN11" s="304">
        <f>174+465+910+555+211+147+106</f>
        <v>2568</v>
      </c>
      <c r="BO11" s="304">
        <v>74</v>
      </c>
      <c r="BP11" s="304">
        <f>81+104+130</f>
        <v>315</v>
      </c>
      <c r="BQ11" s="304">
        <f>156+225-BO11</f>
        <v>307</v>
      </c>
      <c r="BR11" s="305">
        <f>419+80</f>
        <v>499</v>
      </c>
      <c r="BS11" s="304">
        <v>205</v>
      </c>
      <c r="BT11" s="304">
        <f>187+382+412+294+792-BS11</f>
        <v>1862</v>
      </c>
      <c r="BU11" s="304">
        <f>756+150</f>
        <v>906</v>
      </c>
      <c r="BV11" s="304">
        <f>281+209+1055+707+948</f>
        <v>3200</v>
      </c>
      <c r="BW11" s="304">
        <f>316+107</f>
        <v>423</v>
      </c>
      <c r="BX11" s="304">
        <f>339+291</f>
        <v>630</v>
      </c>
      <c r="BY11" s="304">
        <v>339</v>
      </c>
      <c r="BZ11" s="304">
        <f>280+244+295+70</f>
        <v>889</v>
      </c>
      <c r="CA11" s="304">
        <f>317+331+185+71</f>
        <v>904</v>
      </c>
      <c r="CB11" s="305">
        <f>405+1008</f>
        <v>1413</v>
      </c>
      <c r="CC11" s="304">
        <f>57+131</f>
        <v>188</v>
      </c>
      <c r="CD11" s="304">
        <f>167+292</f>
        <v>459</v>
      </c>
      <c r="CE11" s="304">
        <f>61+126+165</f>
        <v>352</v>
      </c>
      <c r="CF11" s="304">
        <v>155</v>
      </c>
      <c r="CG11" s="304">
        <f>93+462+619-CF11</f>
        <v>1019</v>
      </c>
      <c r="CH11" s="304">
        <f>739+241+489</f>
        <v>1469</v>
      </c>
      <c r="CI11" s="304">
        <f>457+231</f>
        <v>688</v>
      </c>
      <c r="CJ11" s="304">
        <f>159+660+526+628</f>
        <v>1973</v>
      </c>
      <c r="CK11" s="306">
        <f>278+607</f>
        <v>885</v>
      </c>
      <c r="CL11" s="308">
        <v>35535</v>
      </c>
      <c r="CM11" s="56"/>
    </row>
    <row r="12" spans="1:91">
      <c r="A12" s="93">
        <f>ROWS($A$3:A10)</f>
        <v>8</v>
      </c>
      <c r="B12" s="106" t="s">
        <v>217</v>
      </c>
      <c r="C12" s="243"/>
      <c r="D12" s="314" t="s">
        <v>1</v>
      </c>
      <c r="E12" s="333"/>
      <c r="F12" s="156">
        <v>8862</v>
      </c>
      <c r="G12" s="177">
        <v>6142</v>
      </c>
      <c r="H12" s="177">
        <v>7259</v>
      </c>
      <c r="I12" s="178">
        <v>8212</v>
      </c>
      <c r="J12" s="181"/>
      <c r="K12" s="156">
        <f t="shared" si="0"/>
        <v>864</v>
      </c>
      <c r="L12" s="177">
        <f t="shared" si="1"/>
        <v>442</v>
      </c>
      <c r="M12" s="177">
        <f t="shared" si="2"/>
        <v>1916</v>
      </c>
      <c r="N12" s="177">
        <f t="shared" si="3"/>
        <v>512</v>
      </c>
      <c r="O12" s="177">
        <f t="shared" si="4"/>
        <v>331</v>
      </c>
      <c r="P12" s="177">
        <f t="shared" si="33"/>
        <v>884</v>
      </c>
      <c r="Q12" s="177">
        <f>'2001'!AU12</f>
        <v>688</v>
      </c>
      <c r="R12" s="177">
        <f t="shared" si="5"/>
        <v>991</v>
      </c>
      <c r="S12" s="177">
        <f t="shared" si="6"/>
        <v>545</v>
      </c>
      <c r="T12" s="177">
        <f t="shared" si="7"/>
        <v>586</v>
      </c>
      <c r="U12" s="179">
        <f t="shared" si="8"/>
        <v>817</v>
      </c>
      <c r="V12" s="177">
        <f t="shared" si="9"/>
        <v>655</v>
      </c>
      <c r="W12" s="177">
        <f t="shared" si="10"/>
        <v>614</v>
      </c>
      <c r="X12" s="177">
        <f t="shared" si="11"/>
        <v>1313</v>
      </c>
      <c r="Y12" s="177">
        <f t="shared" si="12"/>
        <v>1579</v>
      </c>
      <c r="Z12" s="177">
        <f t="shared" si="13"/>
        <v>909</v>
      </c>
      <c r="AA12" s="177">
        <f t="shared" si="14"/>
        <v>648</v>
      </c>
      <c r="AB12" s="179">
        <f t="shared" si="15"/>
        <v>754</v>
      </c>
      <c r="AC12" s="177">
        <f t="shared" si="16"/>
        <v>546</v>
      </c>
      <c r="AD12" s="177">
        <f t="shared" si="17"/>
        <v>946</v>
      </c>
      <c r="AE12" s="177">
        <f t="shared" si="18"/>
        <v>1425</v>
      </c>
      <c r="AF12" s="177">
        <f t="shared" si="19"/>
        <v>339</v>
      </c>
      <c r="AG12" s="177">
        <f t="shared" si="20"/>
        <v>1571</v>
      </c>
      <c r="AH12" s="177">
        <f t="shared" si="21"/>
        <v>670</v>
      </c>
      <c r="AI12" s="177">
        <f t="shared" si="22"/>
        <v>572</v>
      </c>
      <c r="AJ12" s="177">
        <f t="shared" si="23"/>
        <v>830</v>
      </c>
      <c r="AK12" s="179">
        <f t="shared" si="24"/>
        <v>360</v>
      </c>
      <c r="AL12" s="177">
        <f t="shared" si="25"/>
        <v>1342</v>
      </c>
      <c r="AM12" s="177">
        <f t="shared" si="26"/>
        <v>525</v>
      </c>
      <c r="AN12" s="177">
        <f t="shared" si="27"/>
        <v>539</v>
      </c>
      <c r="AO12" s="177">
        <f t="shared" si="28"/>
        <v>931</v>
      </c>
      <c r="AP12" s="177">
        <f t="shared" si="29"/>
        <v>397</v>
      </c>
      <c r="AQ12" s="177">
        <f t="shared" si="30"/>
        <v>2389</v>
      </c>
      <c r="AR12" s="177">
        <f t="shared" si="31"/>
        <v>402</v>
      </c>
      <c r="AS12" s="178">
        <f t="shared" si="32"/>
        <v>1310</v>
      </c>
      <c r="AT12" s="304">
        <v>137</v>
      </c>
      <c r="AU12" s="304">
        <f>335+101+252</f>
        <v>688</v>
      </c>
      <c r="AV12" s="304">
        <f>166+170+209</f>
        <v>545</v>
      </c>
      <c r="AW12" s="304">
        <f>299+213</f>
        <v>512</v>
      </c>
      <c r="AX12" s="304">
        <f>341+378+135</f>
        <v>854</v>
      </c>
      <c r="AY12" s="304">
        <f>147+140+155</f>
        <v>442</v>
      </c>
      <c r="AZ12" s="307">
        <v>53</v>
      </c>
      <c r="BA12" s="304">
        <f>514+370-AZ12</f>
        <v>831</v>
      </c>
      <c r="BB12" s="304">
        <f>464+122</f>
        <v>586</v>
      </c>
      <c r="BC12" s="304">
        <f>364+453</f>
        <v>817</v>
      </c>
      <c r="BD12" s="304">
        <f>957+849+110</f>
        <v>1916</v>
      </c>
      <c r="BE12" s="304">
        <v>331</v>
      </c>
      <c r="BF12" s="305">
        <f>279+256+329</f>
        <v>864</v>
      </c>
      <c r="BG12" s="304">
        <v>139</v>
      </c>
      <c r="BH12" s="304">
        <v>247</v>
      </c>
      <c r="BI12" s="304">
        <f>104+571+60+578-BH12</f>
        <v>1066</v>
      </c>
      <c r="BJ12" s="304">
        <f>114+166+99+276-BG12</f>
        <v>516</v>
      </c>
      <c r="BK12" s="304">
        <v>51</v>
      </c>
      <c r="BL12" s="304">
        <v>280</v>
      </c>
      <c r="BM12" s="304">
        <f>643+241+25</f>
        <v>909</v>
      </c>
      <c r="BN12" s="304">
        <f>38+216+348+165+261+77+143</f>
        <v>1248</v>
      </c>
      <c r="BO12" s="304">
        <v>89</v>
      </c>
      <c r="BP12" s="304">
        <f>64+394+296</f>
        <v>754</v>
      </c>
      <c r="BQ12" s="304">
        <f>166+482-BO12</f>
        <v>559</v>
      </c>
      <c r="BR12" s="305">
        <f>361+253</f>
        <v>614</v>
      </c>
      <c r="BS12" s="304">
        <v>105</v>
      </c>
      <c r="BT12" s="304">
        <f>101+415+408+277+224-BS12</f>
        <v>1320</v>
      </c>
      <c r="BU12" s="304">
        <f>871+75</f>
        <v>946</v>
      </c>
      <c r="BV12" s="304">
        <f>197+127+382+441+424</f>
        <v>1571</v>
      </c>
      <c r="BW12" s="304">
        <f>407+165</f>
        <v>572</v>
      </c>
      <c r="BX12" s="304">
        <f>225+321</f>
        <v>546</v>
      </c>
      <c r="BY12" s="304">
        <v>830</v>
      </c>
      <c r="BZ12" s="304">
        <f>147+148+85+290</f>
        <v>670</v>
      </c>
      <c r="CA12" s="304">
        <f>49+166+61+63</f>
        <v>339</v>
      </c>
      <c r="CB12" s="305">
        <f>306+54</f>
        <v>360</v>
      </c>
      <c r="CC12" s="304">
        <f>596+335</f>
        <v>931</v>
      </c>
      <c r="CD12" s="304">
        <f>138+259</f>
        <v>397</v>
      </c>
      <c r="CE12" s="304">
        <f>819+198+325</f>
        <v>1342</v>
      </c>
      <c r="CF12" s="304">
        <v>399</v>
      </c>
      <c r="CG12" s="304">
        <f>296+264+750-CF12</f>
        <v>911</v>
      </c>
      <c r="CH12" s="304">
        <f>236+67+222</f>
        <v>525</v>
      </c>
      <c r="CI12" s="304">
        <f>141+261</f>
        <v>402</v>
      </c>
      <c r="CJ12" s="304">
        <f>97+55+148+239</f>
        <v>539</v>
      </c>
      <c r="CK12" s="306">
        <f>145+2244</f>
        <v>2389</v>
      </c>
      <c r="CL12" s="308">
        <v>30475</v>
      </c>
      <c r="CM12" s="56"/>
    </row>
    <row r="13" spans="1:91">
      <c r="A13" s="93">
        <f>ROWS($A$3:A11)</f>
        <v>9</v>
      </c>
      <c r="B13" s="106" t="s">
        <v>69</v>
      </c>
      <c r="C13" s="242">
        <v>2001</v>
      </c>
      <c r="D13" s="314" t="s">
        <v>12</v>
      </c>
      <c r="E13" s="316"/>
      <c r="F13" s="156">
        <v>3964162</v>
      </c>
      <c r="G13" s="177">
        <v>2701376</v>
      </c>
      <c r="H13" s="177">
        <v>2156851</v>
      </c>
      <c r="I13" s="178">
        <v>1778517</v>
      </c>
      <c r="J13" s="181"/>
      <c r="K13" s="156">
        <f t="shared" si="0"/>
        <v>315345</v>
      </c>
      <c r="L13" s="177">
        <f t="shared" si="1"/>
        <v>412959</v>
      </c>
      <c r="M13" s="177">
        <f t="shared" si="2"/>
        <v>137508</v>
      </c>
      <c r="N13" s="177">
        <f t="shared" si="3"/>
        <v>257651</v>
      </c>
      <c r="O13" s="177">
        <f t="shared" si="4"/>
        <v>137055</v>
      </c>
      <c r="P13" s="177">
        <f t="shared" si="33"/>
        <v>444206</v>
      </c>
      <c r="Q13" s="177">
        <f>'2001'!AU13</f>
        <v>367830</v>
      </c>
      <c r="R13" s="177">
        <f t="shared" si="5"/>
        <v>1090381</v>
      </c>
      <c r="S13" s="177">
        <f t="shared" si="6"/>
        <v>505340</v>
      </c>
      <c r="T13" s="177">
        <f t="shared" si="7"/>
        <v>108920</v>
      </c>
      <c r="U13" s="179">
        <f t="shared" si="8"/>
        <v>186967</v>
      </c>
      <c r="V13" s="177">
        <f t="shared" si="9"/>
        <v>277393</v>
      </c>
      <c r="W13" s="177">
        <f t="shared" si="10"/>
        <v>121682</v>
      </c>
      <c r="X13" s="177">
        <f t="shared" si="11"/>
        <v>702530</v>
      </c>
      <c r="Y13" s="177">
        <f t="shared" si="12"/>
        <v>977690</v>
      </c>
      <c r="Z13" s="177">
        <f t="shared" si="13"/>
        <v>150091</v>
      </c>
      <c r="AA13" s="177">
        <f t="shared" si="14"/>
        <v>311875</v>
      </c>
      <c r="AB13" s="179">
        <f t="shared" si="15"/>
        <v>160115</v>
      </c>
      <c r="AC13" s="177">
        <f t="shared" si="16"/>
        <v>211321</v>
      </c>
      <c r="AD13" s="177">
        <f t="shared" si="17"/>
        <v>152953</v>
      </c>
      <c r="AE13" s="177">
        <f t="shared" si="18"/>
        <v>451337</v>
      </c>
      <c r="AF13" s="177">
        <f t="shared" si="19"/>
        <v>219149</v>
      </c>
      <c r="AG13" s="177">
        <f t="shared" si="20"/>
        <v>411491</v>
      </c>
      <c r="AH13" s="177">
        <f t="shared" si="21"/>
        <v>268859</v>
      </c>
      <c r="AI13" s="177">
        <f t="shared" si="22"/>
        <v>141761</v>
      </c>
      <c r="AJ13" s="177">
        <f t="shared" si="23"/>
        <v>133866</v>
      </c>
      <c r="AK13" s="179">
        <f t="shared" si="24"/>
        <v>166114</v>
      </c>
      <c r="AL13" s="177">
        <f t="shared" si="25"/>
        <v>193196</v>
      </c>
      <c r="AM13" s="177">
        <f t="shared" si="26"/>
        <v>184548</v>
      </c>
      <c r="AN13" s="177">
        <f t="shared" si="27"/>
        <v>270572</v>
      </c>
      <c r="AO13" s="177">
        <f t="shared" si="28"/>
        <v>279177</v>
      </c>
      <c r="AP13" s="177">
        <f t="shared" si="29"/>
        <v>211058</v>
      </c>
      <c r="AQ13" s="177">
        <f t="shared" si="30"/>
        <v>133671</v>
      </c>
      <c r="AR13" s="177">
        <f t="shared" si="31"/>
        <v>200948</v>
      </c>
      <c r="AS13" s="178">
        <f t="shared" si="32"/>
        <v>305347</v>
      </c>
      <c r="AT13" s="181">
        <v>587152</v>
      </c>
      <c r="AU13" s="181">
        <v>367830</v>
      </c>
      <c r="AV13" s="181">
        <v>505340</v>
      </c>
      <c r="AW13" s="181">
        <v>257651</v>
      </c>
      <c r="AX13" s="181">
        <v>503229</v>
      </c>
      <c r="AY13" s="177">
        <v>412959</v>
      </c>
      <c r="AZ13" s="177">
        <v>120163</v>
      </c>
      <c r="BA13" s="177">
        <v>324043</v>
      </c>
      <c r="BB13" s="177">
        <v>108920</v>
      </c>
      <c r="BC13" s="177">
        <v>186967</v>
      </c>
      <c r="BD13" s="177">
        <v>137508</v>
      </c>
      <c r="BE13" s="177">
        <v>137055</v>
      </c>
      <c r="BF13" s="179">
        <v>315345</v>
      </c>
      <c r="BG13" s="177">
        <v>53084</v>
      </c>
      <c r="BH13" s="177">
        <v>279578</v>
      </c>
      <c r="BI13" s="177">
        <v>422952</v>
      </c>
      <c r="BJ13" s="177">
        <v>224309</v>
      </c>
      <c r="BK13" s="177">
        <v>141509</v>
      </c>
      <c r="BL13" s="177">
        <v>308385</v>
      </c>
      <c r="BM13" s="177">
        <v>150091</v>
      </c>
      <c r="BN13" s="177">
        <v>527796</v>
      </c>
      <c r="BO13" s="177">
        <v>118002</v>
      </c>
      <c r="BP13" s="177">
        <v>160115</v>
      </c>
      <c r="BQ13" s="177">
        <v>193873</v>
      </c>
      <c r="BR13" s="179">
        <v>121682</v>
      </c>
      <c r="BS13" s="177">
        <v>208294</v>
      </c>
      <c r="BT13" s="177">
        <v>243043</v>
      </c>
      <c r="BU13" s="177">
        <v>152953</v>
      </c>
      <c r="BV13" s="177">
        <v>411491</v>
      </c>
      <c r="BW13" s="177">
        <v>141761</v>
      </c>
      <c r="BX13" s="177">
        <v>211321</v>
      </c>
      <c r="BY13" s="177">
        <v>133866</v>
      </c>
      <c r="BZ13" s="177">
        <v>268859</v>
      </c>
      <c r="CA13" s="177">
        <v>219149</v>
      </c>
      <c r="CB13" s="179">
        <v>166114</v>
      </c>
      <c r="CC13" s="177">
        <v>279177</v>
      </c>
      <c r="CD13" s="177">
        <v>211058</v>
      </c>
      <c r="CE13" s="177">
        <v>193196</v>
      </c>
      <c r="CF13" s="177">
        <v>118347</v>
      </c>
      <c r="CG13" s="177">
        <v>187000</v>
      </c>
      <c r="CH13" s="177">
        <v>184548</v>
      </c>
      <c r="CI13" s="177">
        <v>200948</v>
      </c>
      <c r="CJ13" s="177">
        <v>270572</v>
      </c>
      <c r="CK13" s="178">
        <v>133671</v>
      </c>
      <c r="CL13" s="180">
        <v>10600906</v>
      </c>
      <c r="CM13" s="56"/>
    </row>
    <row r="14" spans="1:91">
      <c r="A14" s="93">
        <f>ROWS($A$3:A12)</f>
        <v>10</v>
      </c>
      <c r="B14" s="62" t="s">
        <v>64</v>
      </c>
      <c r="C14" s="312"/>
      <c r="D14" s="314" t="s">
        <v>13</v>
      </c>
      <c r="E14" s="333"/>
      <c r="F14" s="182">
        <f>F13/F7*100</f>
        <v>375.47910938176352</v>
      </c>
      <c r="G14" s="183">
        <f>G13/G7*100</f>
        <v>390.41964631544869</v>
      </c>
      <c r="H14" s="183">
        <f>H13/H7*100</f>
        <v>230.75847429973285</v>
      </c>
      <c r="I14" s="184">
        <f>I13/I7*100</f>
        <v>199.43517269451891</v>
      </c>
      <c r="J14" s="181"/>
      <c r="K14" s="185">
        <f t="shared" si="0"/>
        <v>208.62083793671479</v>
      </c>
      <c r="L14" s="186">
        <f t="shared" si="1"/>
        <v>481.22567413242592</v>
      </c>
      <c r="M14" s="186">
        <f t="shared" si="2"/>
        <v>105.41615878199673</v>
      </c>
      <c r="N14" s="186">
        <f t="shared" si="3"/>
        <v>401.11936232154812</v>
      </c>
      <c r="O14" s="186">
        <f t="shared" si="4"/>
        <v>218.54320475818412</v>
      </c>
      <c r="P14" s="183">
        <f>P13/P7*100</f>
        <v>370.23645804682485</v>
      </c>
      <c r="Q14" s="186">
        <f>'2001'!AU14</f>
        <v>595.35794636064941</v>
      </c>
      <c r="R14" s="183">
        <f>R13/R7*100</f>
        <v>1219.4336647393673</v>
      </c>
      <c r="S14" s="186">
        <f t="shared" si="6"/>
        <v>787.82115240708401</v>
      </c>
      <c r="T14" s="186">
        <f t="shared" si="7"/>
        <v>140.22349245584223</v>
      </c>
      <c r="U14" s="187">
        <f t="shared" si="8"/>
        <v>125.98599758764986</v>
      </c>
      <c r="V14" s="183">
        <f>V13/V7*100</f>
        <v>315.57433931354592</v>
      </c>
      <c r="W14" s="186">
        <f t="shared" si="10"/>
        <v>139.75994946304485</v>
      </c>
      <c r="X14" s="183">
        <f>X13/X7*100</f>
        <v>558.26353681600733</v>
      </c>
      <c r="Y14" s="183">
        <f>Y13/Y7*100</f>
        <v>743.20790573926263</v>
      </c>
      <c r="Z14" s="186">
        <f t="shared" si="13"/>
        <v>133.25786632573335</v>
      </c>
      <c r="AA14" s="183">
        <f>AA13/AA7*100</f>
        <v>464.29315786339549</v>
      </c>
      <c r="AB14" s="187">
        <f t="shared" si="15"/>
        <v>200.76360763858415</v>
      </c>
      <c r="AC14" s="186">
        <f t="shared" si="16"/>
        <v>206.1185673598377</v>
      </c>
      <c r="AD14" s="186">
        <f t="shared" si="17"/>
        <v>224.96396528901309</v>
      </c>
      <c r="AE14" s="183">
        <f>AE13/AE7*100</f>
        <v>294.72182316834272</v>
      </c>
      <c r="AF14" s="186">
        <f t="shared" si="19"/>
        <v>271.62405027205909</v>
      </c>
      <c r="AG14" s="186">
        <f t="shared" si="20"/>
        <v>221.14730398611283</v>
      </c>
      <c r="AH14" s="186">
        <f t="shared" si="21"/>
        <v>328.77494619448248</v>
      </c>
      <c r="AI14" s="186">
        <f t="shared" si="22"/>
        <v>184.24158143040952</v>
      </c>
      <c r="AJ14" s="186">
        <f t="shared" si="23"/>
        <v>182.29182270034724</v>
      </c>
      <c r="AK14" s="187">
        <f t="shared" si="24"/>
        <v>146.85149005012511</v>
      </c>
      <c r="AL14" s="186">
        <f t="shared" si="25"/>
        <v>210.51507523999433</v>
      </c>
      <c r="AM14" s="186">
        <f t="shared" si="26"/>
        <v>130.89996027918062</v>
      </c>
      <c r="AN14" s="186">
        <f t="shared" si="27"/>
        <v>165.81097063996421</v>
      </c>
      <c r="AO14" s="186">
        <f t="shared" si="28"/>
        <v>255.16588977241571</v>
      </c>
      <c r="AP14" s="186">
        <f t="shared" si="29"/>
        <v>406.5374836273981</v>
      </c>
      <c r="AQ14" s="186">
        <f t="shared" si="30"/>
        <v>110.99016066758003</v>
      </c>
      <c r="AR14" s="186">
        <f t="shared" si="31"/>
        <v>302.27744516983063</v>
      </c>
      <c r="AS14" s="184">
        <f t="shared" ref="AS14:CL14" si="34">AS13/AS7*100</f>
        <v>206.87325966626244</v>
      </c>
      <c r="AT14" s="183">
        <f t="shared" si="34"/>
        <v>2831.5586419753085</v>
      </c>
      <c r="AU14" s="183">
        <f t="shared" si="34"/>
        <v>595.35794636064941</v>
      </c>
      <c r="AV14" s="183">
        <f t="shared" si="34"/>
        <v>787.82115240708401</v>
      </c>
      <c r="AW14" s="183">
        <f t="shared" si="34"/>
        <v>401.11936232154812</v>
      </c>
      <c r="AX14" s="183">
        <f t="shared" si="34"/>
        <v>732.70482375038227</v>
      </c>
      <c r="AY14" s="183">
        <f t="shared" si="34"/>
        <v>481.22567413242592</v>
      </c>
      <c r="AZ14" s="183">
        <f>AZ13/BA7*100</f>
        <v>109.24802938422235</v>
      </c>
      <c r="BA14" s="183">
        <f>BA13/BB7*100</f>
        <v>417.17261444976572</v>
      </c>
      <c r="BB14" s="183">
        <f t="shared" si="34"/>
        <v>140.22349245584223</v>
      </c>
      <c r="BC14" s="183">
        <f t="shared" si="34"/>
        <v>125.98599758764986</v>
      </c>
      <c r="BD14" s="183">
        <f t="shared" si="34"/>
        <v>105.41615878199673</v>
      </c>
      <c r="BE14" s="183">
        <f t="shared" si="34"/>
        <v>218.54320475818412</v>
      </c>
      <c r="BF14" s="188">
        <f t="shared" si="34"/>
        <v>208.62083793671479</v>
      </c>
      <c r="BG14" s="183">
        <f t="shared" si="34"/>
        <v>378.68454843772292</v>
      </c>
      <c r="BH14" s="183">
        <f t="shared" si="34"/>
        <v>1611.772166493716</v>
      </c>
      <c r="BI14" s="183">
        <f t="shared" si="34"/>
        <v>389.83188320306738</v>
      </c>
      <c r="BJ14" s="183">
        <f t="shared" si="34"/>
        <v>303.60028694016216</v>
      </c>
      <c r="BK14" s="183">
        <f t="shared" si="34"/>
        <v>1300.2756592851235</v>
      </c>
      <c r="BL14" s="183">
        <f t="shared" si="34"/>
        <v>2127.3799668874171</v>
      </c>
      <c r="BM14" s="183">
        <f t="shared" si="34"/>
        <v>133.25786632573335</v>
      </c>
      <c r="BN14" s="183">
        <f t="shared" si="34"/>
        <v>497.11879891872542</v>
      </c>
      <c r="BO14" s="183">
        <f t="shared" si="34"/>
        <v>1206.0711365494685</v>
      </c>
      <c r="BP14" s="183">
        <f t="shared" si="34"/>
        <v>200.76360763858415</v>
      </c>
      <c r="BQ14" s="183">
        <f t="shared" si="34"/>
        <v>337.82846588136891</v>
      </c>
      <c r="BR14" s="188">
        <f t="shared" si="34"/>
        <v>139.75994946304485</v>
      </c>
      <c r="BS14" s="183">
        <f t="shared" si="34"/>
        <v>1360.8650202534952</v>
      </c>
      <c r="BT14" s="183">
        <f t="shared" si="34"/>
        <v>176.33022331210006</v>
      </c>
      <c r="BU14" s="183">
        <f t="shared" si="34"/>
        <v>224.96396528901309</v>
      </c>
      <c r="BV14" s="183">
        <f t="shared" si="34"/>
        <v>221.14730398611283</v>
      </c>
      <c r="BW14" s="183">
        <f t="shared" si="34"/>
        <v>184.24158143040952</v>
      </c>
      <c r="BX14" s="183">
        <f t="shared" si="34"/>
        <v>206.1185673598377</v>
      </c>
      <c r="BY14" s="183">
        <f t="shared" si="34"/>
        <v>182.29182270034724</v>
      </c>
      <c r="BZ14" s="183">
        <f t="shared" si="34"/>
        <v>328.77494619448248</v>
      </c>
      <c r="CA14" s="183">
        <f t="shared" si="34"/>
        <v>271.62405027205909</v>
      </c>
      <c r="CB14" s="188">
        <f t="shared" si="34"/>
        <v>146.85149005012511</v>
      </c>
      <c r="CC14" s="183">
        <f t="shared" si="34"/>
        <v>255.16588977241571</v>
      </c>
      <c r="CD14" s="183">
        <f t="shared" si="34"/>
        <v>406.5374836273981</v>
      </c>
      <c r="CE14" s="183">
        <f t="shared" si="34"/>
        <v>210.51507523999433</v>
      </c>
      <c r="CF14" s="183">
        <f t="shared" si="34"/>
        <v>997.11011879686589</v>
      </c>
      <c r="CG14" s="183">
        <f t="shared" si="34"/>
        <v>137.77149087908523</v>
      </c>
      <c r="CH14" s="183">
        <f t="shared" si="34"/>
        <v>130.89996027918062</v>
      </c>
      <c r="CI14" s="183">
        <f t="shared" si="34"/>
        <v>302.27744516983063</v>
      </c>
      <c r="CJ14" s="183">
        <f t="shared" si="34"/>
        <v>165.81097063996421</v>
      </c>
      <c r="CK14" s="184">
        <f t="shared" si="34"/>
        <v>110.99016066758003</v>
      </c>
      <c r="CL14" s="189">
        <f t="shared" si="34"/>
        <v>296.51805668605056</v>
      </c>
    </row>
    <row r="15" spans="1:91">
      <c r="A15" s="93">
        <f>ROWS($A$3:A13)</f>
        <v>11</v>
      </c>
      <c r="B15" s="67" t="s">
        <v>303</v>
      </c>
      <c r="C15" s="312"/>
      <c r="D15" s="314"/>
      <c r="E15" s="333"/>
      <c r="F15" s="377"/>
      <c r="G15" s="181"/>
      <c r="H15" s="181"/>
      <c r="I15" s="373"/>
      <c r="J15" s="181"/>
      <c r="K15" s="377"/>
      <c r="L15" s="181"/>
      <c r="M15" s="181"/>
      <c r="N15" s="181"/>
      <c r="O15" s="181"/>
      <c r="P15" s="181"/>
      <c r="Q15" s="181"/>
      <c r="R15" s="181"/>
      <c r="S15" s="181"/>
      <c r="T15" s="181"/>
      <c r="U15" s="372"/>
      <c r="V15" s="181"/>
      <c r="W15" s="181"/>
      <c r="X15" s="181"/>
      <c r="Y15" s="181"/>
      <c r="Z15" s="181"/>
      <c r="AA15" s="181"/>
      <c r="AB15" s="372"/>
      <c r="AC15" s="181"/>
      <c r="AD15" s="181"/>
      <c r="AE15" s="181"/>
      <c r="AF15" s="181"/>
      <c r="AG15" s="181"/>
      <c r="AH15" s="181"/>
      <c r="AI15" s="181"/>
      <c r="AJ15" s="181"/>
      <c r="AK15" s="372"/>
      <c r="AL15" s="181"/>
      <c r="AM15" s="181"/>
      <c r="AN15" s="181"/>
      <c r="AO15" s="181"/>
      <c r="AP15" s="181"/>
      <c r="AQ15" s="181"/>
      <c r="AR15" s="181"/>
      <c r="AS15" s="373"/>
      <c r="AT15" s="181"/>
      <c r="AU15" s="181"/>
      <c r="AV15" s="181"/>
      <c r="AW15" s="181"/>
      <c r="AX15" s="181"/>
      <c r="AY15" s="181"/>
      <c r="AZ15" s="181"/>
      <c r="BA15" s="181"/>
      <c r="BB15" s="181"/>
      <c r="BC15" s="181"/>
      <c r="BD15" s="181"/>
      <c r="BE15" s="181"/>
      <c r="BF15" s="372"/>
      <c r="BG15" s="181"/>
      <c r="BH15" s="181"/>
      <c r="BI15" s="181"/>
      <c r="BJ15" s="181"/>
      <c r="BK15" s="181"/>
      <c r="BL15" s="181"/>
      <c r="BM15" s="181"/>
      <c r="BN15" s="181"/>
      <c r="BO15" s="181"/>
      <c r="BP15" s="181"/>
      <c r="BQ15" s="181"/>
      <c r="BR15" s="372"/>
      <c r="BS15" s="181"/>
      <c r="BT15" s="181"/>
      <c r="BU15" s="181"/>
      <c r="BV15" s="181"/>
      <c r="BW15" s="181"/>
      <c r="BX15" s="181"/>
      <c r="BY15" s="181"/>
      <c r="BZ15" s="181"/>
      <c r="CA15" s="181"/>
      <c r="CB15" s="372"/>
      <c r="CC15" s="181"/>
      <c r="CD15" s="181"/>
      <c r="CE15" s="181"/>
      <c r="CF15" s="181"/>
      <c r="CG15" s="181"/>
      <c r="CH15" s="181"/>
      <c r="CI15" s="181"/>
      <c r="CJ15" s="181"/>
      <c r="CK15" s="373"/>
      <c r="CL15" s="318"/>
    </row>
    <row r="16" spans="1:91">
      <c r="A16" s="93">
        <f>ROWS($A$3:A14)</f>
        <v>12</v>
      </c>
      <c r="B16" s="106" t="s">
        <v>214</v>
      </c>
      <c r="C16" s="242">
        <v>2001</v>
      </c>
      <c r="D16" s="314" t="s">
        <v>12</v>
      </c>
      <c r="E16" s="316"/>
      <c r="F16" s="156">
        <v>2112959</v>
      </c>
      <c r="G16" s="177">
        <v>1389828</v>
      </c>
      <c r="H16" s="177">
        <v>1051913</v>
      </c>
      <c r="I16" s="178">
        <v>873551</v>
      </c>
      <c r="J16" s="181"/>
      <c r="K16" s="156">
        <f t="shared" si="0"/>
        <v>145679</v>
      </c>
      <c r="L16" s="177">
        <f t="shared" si="1"/>
        <v>181183</v>
      </c>
      <c r="M16" s="177">
        <f t="shared" si="2"/>
        <v>69419</v>
      </c>
      <c r="N16" s="177">
        <f t="shared" si="3"/>
        <v>113125</v>
      </c>
      <c r="O16" s="177">
        <f t="shared" si="4"/>
        <v>65294</v>
      </c>
      <c r="P16" s="177">
        <f t="shared" si="33"/>
        <v>232109</v>
      </c>
      <c r="Q16" s="177">
        <f>'2001'!AU16</f>
        <v>208908</v>
      </c>
      <c r="R16" s="177">
        <f>AT16+AX16</f>
        <v>697020</v>
      </c>
      <c r="S16" s="177">
        <f t="shared" si="6"/>
        <v>249989</v>
      </c>
      <c r="T16" s="177">
        <f t="shared" si="7"/>
        <v>58528</v>
      </c>
      <c r="U16" s="179">
        <f t="shared" si="8"/>
        <v>91707</v>
      </c>
      <c r="V16" s="177">
        <f>BG16+BJ16</f>
        <v>146630</v>
      </c>
      <c r="W16" s="177">
        <f t="shared" si="10"/>
        <v>59159</v>
      </c>
      <c r="X16" s="177">
        <f>BH16+BI16</f>
        <v>390374</v>
      </c>
      <c r="Y16" s="177">
        <f>BK16+BL16+BN16</f>
        <v>527517</v>
      </c>
      <c r="Z16" s="177">
        <f t="shared" si="13"/>
        <v>61561</v>
      </c>
      <c r="AA16" s="177">
        <f>BO16+BQ16</f>
        <v>143969</v>
      </c>
      <c r="AB16" s="179">
        <f t="shared" si="15"/>
        <v>60620</v>
      </c>
      <c r="AC16" s="177">
        <f t="shared" si="16"/>
        <v>109018</v>
      </c>
      <c r="AD16" s="177">
        <f t="shared" si="17"/>
        <v>63243</v>
      </c>
      <c r="AE16" s="177">
        <f>BS16+BT16</f>
        <v>236662</v>
      </c>
      <c r="AF16" s="177">
        <f t="shared" si="19"/>
        <v>97984</v>
      </c>
      <c r="AG16" s="177">
        <f t="shared" si="20"/>
        <v>215968</v>
      </c>
      <c r="AH16" s="177">
        <f t="shared" si="21"/>
        <v>122522</v>
      </c>
      <c r="AI16" s="177">
        <f t="shared" si="22"/>
        <v>71596</v>
      </c>
      <c r="AJ16" s="177">
        <f t="shared" si="23"/>
        <v>64850</v>
      </c>
      <c r="AK16" s="179">
        <f t="shared" si="24"/>
        <v>70070</v>
      </c>
      <c r="AL16" s="177">
        <f t="shared" si="25"/>
        <v>91049</v>
      </c>
      <c r="AM16" s="177">
        <f t="shared" si="26"/>
        <v>86285</v>
      </c>
      <c r="AN16" s="177">
        <f t="shared" si="27"/>
        <v>136344</v>
      </c>
      <c r="AO16" s="177">
        <f t="shared" si="28"/>
        <v>135000</v>
      </c>
      <c r="AP16" s="177">
        <f t="shared" si="29"/>
        <v>92396</v>
      </c>
      <c r="AQ16" s="177">
        <f t="shared" si="30"/>
        <v>62029</v>
      </c>
      <c r="AR16" s="177">
        <f t="shared" si="31"/>
        <v>98388</v>
      </c>
      <c r="AS16" s="178">
        <f>CF16+CG16</f>
        <v>172061</v>
      </c>
      <c r="AT16" s="181">
        <v>466765</v>
      </c>
      <c r="AU16" s="181">
        <v>208908</v>
      </c>
      <c r="AV16" s="181">
        <v>249989</v>
      </c>
      <c r="AW16" s="181">
        <v>113125</v>
      </c>
      <c r="AX16" s="181">
        <v>230255</v>
      </c>
      <c r="AY16" s="177">
        <v>181183</v>
      </c>
      <c r="AZ16" s="177">
        <v>92870</v>
      </c>
      <c r="BA16" s="177">
        <v>139239</v>
      </c>
      <c r="BB16" s="177">
        <v>58528</v>
      </c>
      <c r="BC16" s="177">
        <v>91707</v>
      </c>
      <c r="BD16" s="177">
        <v>69419</v>
      </c>
      <c r="BE16" s="177">
        <v>65294</v>
      </c>
      <c r="BF16" s="179">
        <v>145679</v>
      </c>
      <c r="BG16" s="177">
        <v>38877</v>
      </c>
      <c r="BH16" s="177">
        <v>212171</v>
      </c>
      <c r="BI16" s="177">
        <v>178203</v>
      </c>
      <c r="BJ16" s="177">
        <v>107753</v>
      </c>
      <c r="BK16" s="177">
        <v>106876</v>
      </c>
      <c r="BL16" s="177">
        <v>217868</v>
      </c>
      <c r="BM16" s="177">
        <v>61561</v>
      </c>
      <c r="BN16" s="177">
        <v>202773</v>
      </c>
      <c r="BO16" s="177">
        <v>69816</v>
      </c>
      <c r="BP16" s="177">
        <v>60620</v>
      </c>
      <c r="BQ16" s="177">
        <v>74153</v>
      </c>
      <c r="BR16" s="179">
        <v>59159</v>
      </c>
      <c r="BS16" s="177">
        <v>136807</v>
      </c>
      <c r="BT16" s="177">
        <v>99855</v>
      </c>
      <c r="BU16" s="177">
        <v>63243</v>
      </c>
      <c r="BV16" s="177">
        <v>215968</v>
      </c>
      <c r="BW16" s="177">
        <v>71596</v>
      </c>
      <c r="BX16" s="177">
        <v>109018</v>
      </c>
      <c r="BY16" s="177">
        <v>64850</v>
      </c>
      <c r="BZ16" s="177">
        <v>122522</v>
      </c>
      <c r="CA16" s="177">
        <v>97984</v>
      </c>
      <c r="CB16" s="179">
        <v>70070</v>
      </c>
      <c r="CC16" s="177">
        <v>135000</v>
      </c>
      <c r="CD16" s="177">
        <v>92396</v>
      </c>
      <c r="CE16" s="177">
        <v>91049</v>
      </c>
      <c r="CF16" s="177">
        <v>101949</v>
      </c>
      <c r="CG16" s="177">
        <v>70112</v>
      </c>
      <c r="CH16" s="177">
        <v>86285</v>
      </c>
      <c r="CI16" s="177">
        <v>98388</v>
      </c>
      <c r="CJ16" s="177">
        <v>136344</v>
      </c>
      <c r="CK16" s="178">
        <v>62029</v>
      </c>
      <c r="CL16" s="180">
        <v>5428251</v>
      </c>
    </row>
    <row r="17" spans="1:90" ht="14.25">
      <c r="A17" s="93">
        <f>ROWS($A$3:A15)</f>
        <v>13</v>
      </c>
      <c r="B17" s="62" t="s">
        <v>262</v>
      </c>
      <c r="C17" s="312"/>
      <c r="D17" s="314" t="s">
        <v>4</v>
      </c>
      <c r="E17" s="316"/>
      <c r="F17" s="207">
        <f>(AT16*AT17+AU16*AU17+AV16*AV17+AW16*AW17+AX16*AX17+AY16*AY17+AZ16*AZ17+BA16*BA17+BB16*BB17+BC16*BC17+BD16*BD17+BE16*BE17+BF16*BF17)/F16</f>
        <v>4.7362075175145373</v>
      </c>
      <c r="G17" s="208">
        <f>(BG16*BG17+BH16*BH17+BI16*BI17+BJ16*BJ17+BK16*BK17+BL16*BL17+BM16*BM17+BN16*BN17+BO16*BO17+BP16*BP17+BQ16*BQ17+BR16*BR17)/G16</f>
        <v>5.9960714563240929</v>
      </c>
      <c r="H17" s="208">
        <f>(BS16*BS17+BT16*BT17+BU16*BU17+BV16*BV17+BW16*BW17+BX16*BX17+BY16*BY17+BZ16*BZ17+CA16*CA17+CB16*CB17)/H16</f>
        <v>5.1096030755395168</v>
      </c>
      <c r="I17" s="209">
        <f>(CC16*CC17+CD16*CD17+CE16*CE17+CF16*CF17+CG16*CG17+CH16*CH17+CI16*CI17+CJ16*CJ17+CK16*CK17)/I16</f>
        <v>4.6485078718929973</v>
      </c>
      <c r="J17" s="213"/>
      <c r="K17" s="210">
        <f t="shared" si="0"/>
        <v>5.5</v>
      </c>
      <c r="L17" s="211">
        <f t="shared" si="1"/>
        <v>4.0999999999999996</v>
      </c>
      <c r="M17" s="211">
        <f t="shared" si="2"/>
        <v>4.5999999999999996</v>
      </c>
      <c r="N17" s="211">
        <f t="shared" si="3"/>
        <v>4.0999999999999996</v>
      </c>
      <c r="O17" s="211">
        <f t="shared" si="4"/>
        <v>5.8</v>
      </c>
      <c r="P17" s="208">
        <f>ROUND((AZ16*AZ17/100+BA16*BA17/100)/P16%,1)</f>
        <v>5.4</v>
      </c>
      <c r="Q17" s="211">
        <f>'2001'!AU17</f>
        <v>4.5</v>
      </c>
      <c r="R17" s="208">
        <f>ROUND((AT16*AT17/100+AX16*AX17/100)/R16%,1)</f>
        <v>5</v>
      </c>
      <c r="S17" s="211">
        <f t="shared" si="6"/>
        <v>3.7</v>
      </c>
      <c r="T17" s="211">
        <f t="shared" si="7"/>
        <v>4.0999999999999996</v>
      </c>
      <c r="U17" s="212">
        <f t="shared" si="8"/>
        <v>4.5999999999999996</v>
      </c>
      <c r="V17" s="208">
        <f>ROUND((BG16*BG17/100+BJ16*BJ17/100)/V16%,1)</f>
        <v>4.7</v>
      </c>
      <c r="W17" s="211">
        <f t="shared" si="10"/>
        <v>4</v>
      </c>
      <c r="X17" s="208">
        <f>ROUND((BH16*BH17/100+BI16*BI17/100)/X16%,1)</f>
        <v>5.6</v>
      </c>
      <c r="Y17" s="208">
        <f>ROUND((BK16*BK17/100+BL16*BL17/100+BN16*BN17/100)/Y16%,1)</f>
        <v>7.3</v>
      </c>
      <c r="Z17" s="211">
        <f t="shared" si="13"/>
        <v>5.0999999999999996</v>
      </c>
      <c r="AA17" s="208">
        <f>ROUND((BO16*BO17/100+BQ16*BQ17/100)/AA16%,1)</f>
        <v>5.7</v>
      </c>
      <c r="AB17" s="212">
        <f t="shared" si="15"/>
        <v>3.8</v>
      </c>
      <c r="AC17" s="211">
        <f t="shared" si="16"/>
        <v>4.3</v>
      </c>
      <c r="AD17" s="211">
        <f t="shared" si="17"/>
        <v>4.5999999999999996</v>
      </c>
      <c r="AE17" s="208">
        <f>ROUND((BS16*BS17/100+BT16*BT17/100)/AE16%,1)</f>
        <v>6.2</v>
      </c>
      <c r="AF17" s="211">
        <f t="shared" si="19"/>
        <v>5.5</v>
      </c>
      <c r="AG17" s="211">
        <f t="shared" si="20"/>
        <v>4.4000000000000004</v>
      </c>
      <c r="AH17" s="211">
        <f t="shared" si="21"/>
        <v>5.8</v>
      </c>
      <c r="AI17" s="211">
        <f t="shared" si="22"/>
        <v>3.9</v>
      </c>
      <c r="AJ17" s="211">
        <f t="shared" si="23"/>
        <v>4.4000000000000004</v>
      </c>
      <c r="AK17" s="212">
        <f t="shared" si="24"/>
        <v>5.5</v>
      </c>
      <c r="AL17" s="211">
        <f t="shared" si="25"/>
        <v>5.2</v>
      </c>
      <c r="AM17" s="211">
        <f t="shared" si="26"/>
        <v>3.7</v>
      </c>
      <c r="AN17" s="211">
        <f t="shared" si="27"/>
        <v>4</v>
      </c>
      <c r="AO17" s="211">
        <f t="shared" si="28"/>
        <v>4.4000000000000004</v>
      </c>
      <c r="AP17" s="211">
        <f t="shared" si="29"/>
        <v>4.9000000000000004</v>
      </c>
      <c r="AQ17" s="211">
        <f t="shared" si="30"/>
        <v>5.6</v>
      </c>
      <c r="AR17" s="211">
        <f t="shared" si="31"/>
        <v>4.5</v>
      </c>
      <c r="AS17" s="209">
        <f>ROUND((CF16*CF17/100+CG16*CG17/100)/AS16%,1)</f>
        <v>5.0999999999999996</v>
      </c>
      <c r="AT17" s="213">
        <v>5.6</v>
      </c>
      <c r="AU17" s="213">
        <v>4.5</v>
      </c>
      <c r="AV17" s="213">
        <v>3.7</v>
      </c>
      <c r="AW17" s="213">
        <v>4.0999999999999996</v>
      </c>
      <c r="AX17" s="213">
        <v>3.9</v>
      </c>
      <c r="AY17" s="211">
        <v>4.0999999999999996</v>
      </c>
      <c r="AZ17" s="211">
        <v>7</v>
      </c>
      <c r="BA17" s="211">
        <v>4.4000000000000004</v>
      </c>
      <c r="BB17" s="211">
        <v>4.0999999999999996</v>
      </c>
      <c r="BC17" s="211">
        <v>4.5999999999999996</v>
      </c>
      <c r="BD17" s="211">
        <v>4.5999999999999996</v>
      </c>
      <c r="BE17" s="211">
        <v>5.8</v>
      </c>
      <c r="BF17" s="212">
        <v>5.5</v>
      </c>
      <c r="BG17" s="211">
        <v>5.2</v>
      </c>
      <c r="BH17" s="211">
        <v>6.6</v>
      </c>
      <c r="BI17" s="211">
        <v>4.4000000000000004</v>
      </c>
      <c r="BJ17" s="211">
        <v>4.5</v>
      </c>
      <c r="BK17" s="211">
        <v>5.7</v>
      </c>
      <c r="BL17" s="211">
        <v>9.8000000000000007</v>
      </c>
      <c r="BM17" s="211">
        <v>5.0999999999999996</v>
      </c>
      <c r="BN17" s="211">
        <v>5.5</v>
      </c>
      <c r="BO17" s="211">
        <v>7.2</v>
      </c>
      <c r="BP17" s="211">
        <v>3.8</v>
      </c>
      <c r="BQ17" s="211">
        <v>4.3</v>
      </c>
      <c r="BR17" s="212">
        <v>4</v>
      </c>
      <c r="BS17" s="211">
        <v>7.5</v>
      </c>
      <c r="BT17" s="211">
        <v>4.4000000000000004</v>
      </c>
      <c r="BU17" s="211">
        <v>4.5999999999999996</v>
      </c>
      <c r="BV17" s="211">
        <v>4.4000000000000004</v>
      </c>
      <c r="BW17" s="211">
        <v>3.9</v>
      </c>
      <c r="BX17" s="211">
        <v>4.3</v>
      </c>
      <c r="BY17" s="211">
        <v>4.4000000000000004</v>
      </c>
      <c r="BZ17" s="211">
        <v>5.8</v>
      </c>
      <c r="CA17" s="211">
        <v>5.5</v>
      </c>
      <c r="CB17" s="212">
        <v>5.5</v>
      </c>
      <c r="CC17" s="211">
        <v>4.4000000000000004</v>
      </c>
      <c r="CD17" s="211">
        <v>4.9000000000000004</v>
      </c>
      <c r="CE17" s="211">
        <v>5.2</v>
      </c>
      <c r="CF17" s="211">
        <v>5.8</v>
      </c>
      <c r="CG17" s="211">
        <v>4.2</v>
      </c>
      <c r="CH17" s="211">
        <v>3.7</v>
      </c>
      <c r="CI17" s="211">
        <v>4.5</v>
      </c>
      <c r="CJ17" s="211">
        <v>4</v>
      </c>
      <c r="CK17" s="214">
        <v>5.6</v>
      </c>
      <c r="CL17" s="215">
        <v>4.9000000000000004</v>
      </c>
    </row>
    <row r="18" spans="1:90">
      <c r="A18" s="93">
        <f>ROWS($A$3:A16)</f>
        <v>14</v>
      </c>
      <c r="B18" s="297" t="s">
        <v>304</v>
      </c>
      <c r="C18" s="405">
        <v>2003</v>
      </c>
      <c r="D18" s="314" t="s">
        <v>12</v>
      </c>
      <c r="E18" s="316"/>
      <c r="F18" s="377">
        <v>82877</v>
      </c>
      <c r="G18" s="181">
        <v>28846</v>
      </c>
      <c r="H18" s="181">
        <v>70496</v>
      </c>
      <c r="I18" s="373">
        <v>47577</v>
      </c>
      <c r="J18" s="213"/>
      <c r="K18" s="156">
        <f>BF18</f>
        <v>6949</v>
      </c>
      <c r="L18" s="177">
        <f>AY18</f>
        <v>7151</v>
      </c>
      <c r="M18" s="177">
        <f>BD18</f>
        <v>6782</v>
      </c>
      <c r="N18" s="177">
        <f>AW18</f>
        <v>2797</v>
      </c>
      <c r="O18" s="177">
        <f>BE18</f>
        <v>1931</v>
      </c>
      <c r="P18" s="183">
        <f>AZ18+BA18</f>
        <v>21342</v>
      </c>
      <c r="Q18" s="177">
        <f>'2001'!AU18</f>
        <v>2830</v>
      </c>
      <c r="R18" s="183">
        <f>AT18+AX18</f>
        <v>13691</v>
      </c>
      <c r="S18" s="177">
        <f>AV18</f>
        <v>3814</v>
      </c>
      <c r="T18" s="177">
        <f>BB18</f>
        <v>7844</v>
      </c>
      <c r="U18" s="179">
        <f>BC18</f>
        <v>7746</v>
      </c>
      <c r="V18" s="183">
        <f>BG18+BJ18</f>
        <v>4953</v>
      </c>
      <c r="W18" s="177">
        <f>BR18</f>
        <v>2445</v>
      </c>
      <c r="X18" s="183">
        <f>BH18+BI18</f>
        <v>6055</v>
      </c>
      <c r="Y18" s="183">
        <f>BK18+BL18+BN18</f>
        <v>8188</v>
      </c>
      <c r="Z18" s="177">
        <f>BM18</f>
        <v>3209</v>
      </c>
      <c r="AA18" s="183">
        <f>BO18+BQ18</f>
        <v>1895</v>
      </c>
      <c r="AB18" s="179">
        <f>BP18</f>
        <v>2101</v>
      </c>
      <c r="AC18" s="177">
        <f>BX18</f>
        <v>3879</v>
      </c>
      <c r="AD18" s="177">
        <f>BU18</f>
        <v>8191</v>
      </c>
      <c r="AE18" s="183">
        <f>BS18+BT18</f>
        <v>20428</v>
      </c>
      <c r="AF18" s="177">
        <f>CA18</f>
        <v>5885</v>
      </c>
      <c r="AG18" s="177">
        <f>BV18</f>
        <v>18075</v>
      </c>
      <c r="AH18" s="177">
        <f>BZ18</f>
        <v>4358</v>
      </c>
      <c r="AI18" s="177">
        <f>BW18</f>
        <v>3211</v>
      </c>
      <c r="AJ18" s="177">
        <f>BY18</f>
        <v>1618</v>
      </c>
      <c r="AK18" s="179">
        <f>CB18</f>
        <v>4851</v>
      </c>
      <c r="AL18" s="177">
        <f>CE18</f>
        <v>2522</v>
      </c>
      <c r="AM18" s="177">
        <f>CH18</f>
        <v>6680</v>
      </c>
      <c r="AN18" s="177">
        <f>CJ18</f>
        <v>10084</v>
      </c>
      <c r="AO18" s="177">
        <f>CC18</f>
        <v>4221</v>
      </c>
      <c r="AP18" s="177">
        <f>CD18</f>
        <v>1837</v>
      </c>
      <c r="AQ18" s="177">
        <f>CK18</f>
        <v>4460</v>
      </c>
      <c r="AR18" s="177">
        <f>CI18</f>
        <v>11049</v>
      </c>
      <c r="AS18" s="184">
        <f>CF18+CG18</f>
        <v>6724</v>
      </c>
      <c r="AT18" s="181">
        <v>2742</v>
      </c>
      <c r="AU18" s="181">
        <v>2830</v>
      </c>
      <c r="AV18" s="181">
        <v>3814</v>
      </c>
      <c r="AW18" s="181">
        <v>2797</v>
      </c>
      <c r="AX18" s="181">
        <v>10949</v>
      </c>
      <c r="AY18" s="177">
        <v>7151</v>
      </c>
      <c r="AZ18" s="177">
        <v>1797</v>
      </c>
      <c r="BA18" s="177">
        <v>19545</v>
      </c>
      <c r="BB18" s="177">
        <v>7844</v>
      </c>
      <c r="BC18" s="177">
        <v>7746</v>
      </c>
      <c r="BD18" s="177">
        <v>6782</v>
      </c>
      <c r="BE18" s="177">
        <v>1931</v>
      </c>
      <c r="BF18" s="179">
        <v>6949</v>
      </c>
      <c r="BG18" s="177">
        <v>838</v>
      </c>
      <c r="BH18" s="177">
        <v>673</v>
      </c>
      <c r="BI18" s="177">
        <v>5382</v>
      </c>
      <c r="BJ18" s="177">
        <v>4115</v>
      </c>
      <c r="BK18" s="177">
        <v>770</v>
      </c>
      <c r="BL18" s="177">
        <v>617</v>
      </c>
      <c r="BM18" s="177">
        <v>3209</v>
      </c>
      <c r="BN18" s="177">
        <v>6801</v>
      </c>
      <c r="BO18" s="177">
        <v>167</v>
      </c>
      <c r="BP18" s="177">
        <v>2101</v>
      </c>
      <c r="BQ18" s="177">
        <v>1728</v>
      </c>
      <c r="BR18" s="179">
        <v>2445</v>
      </c>
      <c r="BS18" s="177">
        <v>1691</v>
      </c>
      <c r="BT18" s="177">
        <v>18737</v>
      </c>
      <c r="BU18" s="177">
        <v>8191</v>
      </c>
      <c r="BV18" s="177">
        <v>18075</v>
      </c>
      <c r="BW18" s="177">
        <v>3211</v>
      </c>
      <c r="BX18" s="177">
        <v>3879</v>
      </c>
      <c r="BY18" s="177">
        <v>1618</v>
      </c>
      <c r="BZ18" s="177">
        <v>4358</v>
      </c>
      <c r="CA18" s="177">
        <v>5885</v>
      </c>
      <c r="CB18" s="179">
        <v>4851</v>
      </c>
      <c r="CC18" s="177">
        <v>4221</v>
      </c>
      <c r="CD18" s="177">
        <v>1837</v>
      </c>
      <c r="CE18" s="177">
        <v>2522</v>
      </c>
      <c r="CF18" s="177">
        <v>578</v>
      </c>
      <c r="CG18" s="177">
        <v>6146</v>
      </c>
      <c r="CH18" s="177">
        <v>6680</v>
      </c>
      <c r="CI18" s="177">
        <v>11049</v>
      </c>
      <c r="CJ18" s="177">
        <v>10084</v>
      </c>
      <c r="CK18" s="178">
        <v>4460</v>
      </c>
      <c r="CL18" s="180">
        <v>229796</v>
      </c>
    </row>
    <row r="19" spans="1:90">
      <c r="A19" s="93">
        <f>ROWS($A$3:A17)</f>
        <v>15</v>
      </c>
      <c r="B19" s="297" t="s">
        <v>302</v>
      </c>
      <c r="C19" s="312"/>
      <c r="D19" s="314" t="s">
        <v>12</v>
      </c>
      <c r="E19" s="322">
        <v>40897</v>
      </c>
      <c r="F19" s="377">
        <v>10876</v>
      </c>
      <c r="G19" s="181">
        <v>5662</v>
      </c>
      <c r="H19" s="181">
        <v>5847</v>
      </c>
      <c r="I19" s="373">
        <v>5115</v>
      </c>
      <c r="J19" s="181"/>
      <c r="K19" s="156">
        <f>BF19</f>
        <v>901</v>
      </c>
      <c r="L19" s="177">
        <f>AY19</f>
        <v>1411</v>
      </c>
      <c r="M19" s="177">
        <f>BD19</f>
        <v>374</v>
      </c>
      <c r="N19" s="177">
        <f>AW19</f>
        <v>454</v>
      </c>
      <c r="O19" s="177">
        <f>BE19</f>
        <v>283</v>
      </c>
      <c r="P19" s="183">
        <f>AZ19+BA19</f>
        <v>1471</v>
      </c>
      <c r="Q19" s="177">
        <f>'2001'!AU19</f>
        <v>701</v>
      </c>
      <c r="R19" s="183">
        <f>AT19+AX19</f>
        <v>3051</v>
      </c>
      <c r="S19" s="177">
        <f>AV19</f>
        <v>1184</v>
      </c>
      <c r="T19" s="177">
        <f>BB19</f>
        <v>466</v>
      </c>
      <c r="U19" s="179">
        <f>BC19</f>
        <v>580</v>
      </c>
      <c r="V19" s="183">
        <f>BG19+BJ19</f>
        <v>1133</v>
      </c>
      <c r="W19" s="177">
        <f>BR19</f>
        <v>432</v>
      </c>
      <c r="X19" s="183">
        <f>BH19+BI19</f>
        <v>908</v>
      </c>
      <c r="Y19" s="183">
        <f>BK19+BL19+BN19</f>
        <v>1059</v>
      </c>
      <c r="Z19" s="177">
        <f>BM19</f>
        <v>947</v>
      </c>
      <c r="AA19" s="183">
        <f>BO19+BQ19</f>
        <v>759</v>
      </c>
      <c r="AB19" s="179">
        <f>BP19</f>
        <v>424</v>
      </c>
      <c r="AC19" s="177">
        <f>BX19</f>
        <v>448</v>
      </c>
      <c r="AD19" s="177">
        <f>BU19</f>
        <v>497</v>
      </c>
      <c r="AE19" s="183">
        <f>BS19+BT19</f>
        <v>1252</v>
      </c>
      <c r="AF19" s="177">
        <f>CA19</f>
        <v>500</v>
      </c>
      <c r="AG19" s="177">
        <f>BV19</f>
        <v>1225</v>
      </c>
      <c r="AH19" s="177">
        <f>BZ19</f>
        <v>1074</v>
      </c>
      <c r="AI19" s="177">
        <f>BW19</f>
        <v>268</v>
      </c>
      <c r="AJ19" s="177">
        <f>BY19</f>
        <v>194</v>
      </c>
      <c r="AK19" s="179">
        <f>CB19</f>
        <v>389</v>
      </c>
      <c r="AL19" s="177">
        <f>CE19</f>
        <v>493</v>
      </c>
      <c r="AM19" s="177">
        <f>CH19</f>
        <v>614</v>
      </c>
      <c r="AN19" s="177">
        <f>CJ19</f>
        <v>869</v>
      </c>
      <c r="AO19" s="177">
        <f>CC19</f>
        <v>880</v>
      </c>
      <c r="AP19" s="177">
        <f>CD19</f>
        <v>336</v>
      </c>
      <c r="AQ19" s="177">
        <f>CK19</f>
        <v>520</v>
      </c>
      <c r="AR19" s="177">
        <f>CI19</f>
        <v>724</v>
      </c>
      <c r="AS19" s="184">
        <f>CF19+CG19</f>
        <v>679</v>
      </c>
      <c r="AT19" s="181">
        <v>1145</v>
      </c>
      <c r="AU19" s="181">
        <v>701</v>
      </c>
      <c r="AV19" s="181">
        <v>1184</v>
      </c>
      <c r="AW19" s="181">
        <v>454</v>
      </c>
      <c r="AX19" s="181">
        <v>1906</v>
      </c>
      <c r="AY19" s="177">
        <v>1411</v>
      </c>
      <c r="AZ19" s="177">
        <v>255</v>
      </c>
      <c r="BA19" s="177">
        <v>1216</v>
      </c>
      <c r="BB19" s="177">
        <v>466</v>
      </c>
      <c r="BC19" s="177">
        <v>580</v>
      </c>
      <c r="BD19" s="177">
        <v>374</v>
      </c>
      <c r="BE19" s="177">
        <v>283</v>
      </c>
      <c r="BF19" s="179">
        <v>901</v>
      </c>
      <c r="BG19" s="177">
        <v>288</v>
      </c>
      <c r="BH19" s="177">
        <v>556</v>
      </c>
      <c r="BI19" s="177">
        <v>352</v>
      </c>
      <c r="BJ19" s="177">
        <v>845</v>
      </c>
      <c r="BK19" s="177">
        <v>230</v>
      </c>
      <c r="BL19" s="177">
        <v>490</v>
      </c>
      <c r="BM19" s="177">
        <v>947</v>
      </c>
      <c r="BN19" s="177">
        <v>339</v>
      </c>
      <c r="BO19" s="177">
        <v>210</v>
      </c>
      <c r="BP19" s="177">
        <v>424</v>
      </c>
      <c r="BQ19" s="177">
        <v>549</v>
      </c>
      <c r="BR19" s="179">
        <v>432</v>
      </c>
      <c r="BS19" s="177">
        <v>232</v>
      </c>
      <c r="BT19" s="177">
        <v>1020</v>
      </c>
      <c r="BU19" s="177">
        <v>497</v>
      </c>
      <c r="BV19" s="177">
        <v>1225</v>
      </c>
      <c r="BW19" s="177">
        <v>268</v>
      </c>
      <c r="BX19" s="177">
        <v>448</v>
      </c>
      <c r="BY19" s="177">
        <v>194</v>
      </c>
      <c r="BZ19" s="177">
        <v>1074</v>
      </c>
      <c r="CA19" s="177">
        <v>500</v>
      </c>
      <c r="CB19" s="179">
        <v>389</v>
      </c>
      <c r="CC19" s="177">
        <v>880</v>
      </c>
      <c r="CD19" s="177">
        <v>336</v>
      </c>
      <c r="CE19" s="177">
        <v>493</v>
      </c>
      <c r="CF19" s="177">
        <v>246</v>
      </c>
      <c r="CG19" s="177">
        <v>433</v>
      </c>
      <c r="CH19" s="177">
        <v>614</v>
      </c>
      <c r="CI19" s="177">
        <v>724</v>
      </c>
      <c r="CJ19" s="177">
        <v>869</v>
      </c>
      <c r="CK19" s="178">
        <v>520</v>
      </c>
      <c r="CL19" s="180">
        <v>27500</v>
      </c>
    </row>
    <row r="20" spans="1:90">
      <c r="A20" s="93">
        <f>ROWS($A$3:A18)</f>
        <v>16</v>
      </c>
      <c r="B20" s="106" t="s">
        <v>68</v>
      </c>
      <c r="C20" s="242">
        <v>2001</v>
      </c>
      <c r="D20" s="314" t="s">
        <v>3</v>
      </c>
      <c r="E20" s="316"/>
      <c r="F20" s="210">
        <v>113.426</v>
      </c>
      <c r="G20" s="211">
        <v>72.007000000000005</v>
      </c>
      <c r="H20" s="211">
        <v>50.109000000000002</v>
      </c>
      <c r="I20" s="214">
        <v>43.415999999999997</v>
      </c>
      <c r="J20" s="213"/>
      <c r="K20" s="210">
        <f t="shared" si="0"/>
        <v>7.101</v>
      </c>
      <c r="L20" s="211">
        <f t="shared" si="1"/>
        <v>9.1150000000000002</v>
      </c>
      <c r="M20" s="211">
        <f t="shared" si="2"/>
        <v>3.1469999999999998</v>
      </c>
      <c r="N20" s="211">
        <f t="shared" si="3"/>
        <v>5.3319999999999999</v>
      </c>
      <c r="O20" s="211">
        <f t="shared" si="4"/>
        <v>3.2930000000000001</v>
      </c>
      <c r="P20" s="211">
        <f t="shared" si="33"/>
        <v>12.413</v>
      </c>
      <c r="Q20" s="211">
        <f>'2001'!AU20</f>
        <v>12.305</v>
      </c>
      <c r="R20" s="211">
        <f>AT20+AX20</f>
        <v>40.176000000000002</v>
      </c>
      <c r="S20" s="211">
        <f t="shared" si="6"/>
        <v>13.41</v>
      </c>
      <c r="T20" s="211">
        <f t="shared" si="7"/>
        <v>2.6749999999999998</v>
      </c>
      <c r="U20" s="212">
        <f t="shared" si="8"/>
        <v>4.4610000000000003</v>
      </c>
      <c r="V20" s="211">
        <f>BG20+BJ20</f>
        <v>7.5019999999999998</v>
      </c>
      <c r="W20" s="211">
        <f t="shared" si="10"/>
        <v>2.802</v>
      </c>
      <c r="X20" s="211">
        <f>BH20+BI20</f>
        <v>20.657</v>
      </c>
      <c r="Y20" s="211">
        <f>BK20+BL20+BN20</f>
        <v>28.381</v>
      </c>
      <c r="Z20" s="211">
        <f t="shared" si="13"/>
        <v>2.9870000000000001</v>
      </c>
      <c r="AA20" s="211">
        <f>BO20+BQ20</f>
        <v>6.944</v>
      </c>
      <c r="AB20" s="212">
        <f t="shared" si="15"/>
        <v>2.7349999999999999</v>
      </c>
      <c r="AC20" s="211">
        <f t="shared" si="16"/>
        <v>5.1840000000000002</v>
      </c>
      <c r="AD20" s="211">
        <f t="shared" si="17"/>
        <v>2.8069999999999999</v>
      </c>
      <c r="AE20" s="211">
        <f>BS20+BT20</f>
        <v>10.754999999999999</v>
      </c>
      <c r="AF20" s="211">
        <f t="shared" si="19"/>
        <v>4.76</v>
      </c>
      <c r="AG20" s="211">
        <f t="shared" si="20"/>
        <v>10.247</v>
      </c>
      <c r="AH20" s="211">
        <f t="shared" si="21"/>
        <v>6.2050000000000001</v>
      </c>
      <c r="AI20" s="211">
        <f t="shared" si="22"/>
        <v>3.5379999999999998</v>
      </c>
      <c r="AJ20" s="211">
        <f t="shared" si="23"/>
        <v>3.3109999999999999</v>
      </c>
      <c r="AK20" s="212">
        <f t="shared" si="24"/>
        <v>3.3010000000000002</v>
      </c>
      <c r="AL20" s="211">
        <f t="shared" si="25"/>
        <v>4.3819999999999997</v>
      </c>
      <c r="AM20" s="211">
        <f t="shared" si="26"/>
        <v>4.4889999999999999</v>
      </c>
      <c r="AN20" s="211">
        <f t="shared" si="27"/>
        <v>6.6210000000000004</v>
      </c>
      <c r="AO20" s="211">
        <f t="shared" si="28"/>
        <v>6.7190000000000003</v>
      </c>
      <c r="AP20" s="211">
        <f t="shared" si="29"/>
        <v>4.2309999999999999</v>
      </c>
      <c r="AQ20" s="211">
        <f t="shared" si="30"/>
        <v>2.84</v>
      </c>
      <c r="AR20" s="211">
        <f t="shared" si="31"/>
        <v>5.3810000000000002</v>
      </c>
      <c r="AS20" s="214">
        <f>CF20+CG20</f>
        <v>8.7530000000000001</v>
      </c>
      <c r="AT20" s="213">
        <v>27.853999999999999</v>
      </c>
      <c r="AU20" s="213">
        <v>12.305</v>
      </c>
      <c r="AV20" s="213">
        <v>13.41</v>
      </c>
      <c r="AW20" s="213">
        <v>5.3319999999999999</v>
      </c>
      <c r="AX20" s="213">
        <v>12.321999999999999</v>
      </c>
      <c r="AY20" s="211">
        <v>9.1150000000000002</v>
      </c>
      <c r="AZ20" s="211">
        <v>5.2149999999999999</v>
      </c>
      <c r="BA20" s="211">
        <v>7.1980000000000004</v>
      </c>
      <c r="BB20" s="211">
        <v>2.6749999999999998</v>
      </c>
      <c r="BC20" s="211">
        <v>4.4610000000000003</v>
      </c>
      <c r="BD20" s="211">
        <v>3.1469999999999998</v>
      </c>
      <c r="BE20" s="211">
        <v>3.2930000000000001</v>
      </c>
      <c r="BF20" s="212">
        <v>7.101</v>
      </c>
      <c r="BG20" s="211">
        <v>1.76</v>
      </c>
      <c r="BH20" s="211">
        <v>11.206</v>
      </c>
      <c r="BI20" s="211">
        <v>9.4510000000000005</v>
      </c>
      <c r="BJ20" s="211">
        <v>5.742</v>
      </c>
      <c r="BK20" s="211">
        <v>5.28</v>
      </c>
      <c r="BL20" s="211">
        <v>12.087</v>
      </c>
      <c r="BM20" s="211">
        <v>2.9870000000000001</v>
      </c>
      <c r="BN20" s="211">
        <v>11.013999999999999</v>
      </c>
      <c r="BO20" s="211">
        <v>3.4089999999999998</v>
      </c>
      <c r="BP20" s="211">
        <v>2.7349999999999999</v>
      </c>
      <c r="BQ20" s="211">
        <v>3.5350000000000001</v>
      </c>
      <c r="BR20" s="212">
        <v>2.802</v>
      </c>
      <c r="BS20" s="211">
        <v>6.383</v>
      </c>
      <c r="BT20" s="211">
        <v>4.3719999999999999</v>
      </c>
      <c r="BU20" s="211">
        <v>2.8069999999999999</v>
      </c>
      <c r="BV20" s="211">
        <v>10.247</v>
      </c>
      <c r="BW20" s="211">
        <v>3.5379999999999998</v>
      </c>
      <c r="BX20" s="211">
        <v>5.1840000000000002</v>
      </c>
      <c r="BY20" s="211">
        <v>3.3109999999999999</v>
      </c>
      <c r="BZ20" s="211">
        <v>6.2050000000000001</v>
      </c>
      <c r="CA20" s="211">
        <v>4.76</v>
      </c>
      <c r="CB20" s="212">
        <v>3.3010000000000002</v>
      </c>
      <c r="CC20" s="211">
        <v>6.7190000000000003</v>
      </c>
      <c r="CD20" s="211">
        <v>4.2309999999999999</v>
      </c>
      <c r="CE20" s="211">
        <v>4.3819999999999997</v>
      </c>
      <c r="CF20" s="211">
        <v>5.1360000000000001</v>
      </c>
      <c r="CG20" s="211">
        <v>3.617</v>
      </c>
      <c r="CH20" s="211">
        <v>4.4889999999999999</v>
      </c>
      <c r="CI20" s="211">
        <v>5.3810000000000002</v>
      </c>
      <c r="CJ20" s="211">
        <v>6.6210000000000004</v>
      </c>
      <c r="CK20" s="214">
        <v>2.84</v>
      </c>
      <c r="CL20" s="215">
        <v>278.95800000000003</v>
      </c>
    </row>
    <row r="21" spans="1:90">
      <c r="A21" s="93">
        <f>ROWS($A$3:A19)</f>
        <v>17</v>
      </c>
      <c r="B21" s="60" t="s">
        <v>65</v>
      </c>
      <c r="C21" s="323"/>
      <c r="D21" s="332" t="s">
        <v>4</v>
      </c>
      <c r="E21" s="333"/>
      <c r="F21" s="207">
        <f>F119/F20%</f>
        <v>0.92835857739847993</v>
      </c>
      <c r="G21" s="208">
        <f>G119/G20%</f>
        <v>0.65132556557001386</v>
      </c>
      <c r="H21" s="208">
        <f>H119/H20%</f>
        <v>1.3131373605539922</v>
      </c>
      <c r="I21" s="209">
        <f>I119/I20%</f>
        <v>1.5432098765432101</v>
      </c>
      <c r="J21" s="213"/>
      <c r="K21" s="207">
        <f t="shared" ref="K21:AP21" si="35">K119/K20%</f>
        <v>1.7039853541754681</v>
      </c>
      <c r="L21" s="208">
        <f t="shared" si="35"/>
        <v>1.02029621503017</v>
      </c>
      <c r="M21" s="208">
        <f t="shared" si="35"/>
        <v>2.9234191293295204</v>
      </c>
      <c r="N21" s="208">
        <f t="shared" si="35"/>
        <v>0.86271567891972989</v>
      </c>
      <c r="O21" s="208">
        <f t="shared" si="35"/>
        <v>1.3361676283024597</v>
      </c>
      <c r="P21" s="208">
        <f t="shared" si="35"/>
        <v>1.256746958833481</v>
      </c>
      <c r="Q21" s="208">
        <f t="shared" si="35"/>
        <v>0</v>
      </c>
      <c r="R21" s="208">
        <f t="shared" si="35"/>
        <v>0.41816009557945044</v>
      </c>
      <c r="S21" s="208">
        <f t="shared" si="35"/>
        <v>0.4921700223713647</v>
      </c>
      <c r="T21" s="208">
        <f t="shared" si="35"/>
        <v>3.2149532710280373</v>
      </c>
      <c r="U21" s="216">
        <f t="shared" si="35"/>
        <v>3.0038108047522978</v>
      </c>
      <c r="V21" s="208">
        <f t="shared" si="35"/>
        <v>0.73313782991202336</v>
      </c>
      <c r="W21" s="208">
        <f t="shared" si="35"/>
        <v>1.4275517487508922</v>
      </c>
      <c r="X21" s="208">
        <f t="shared" si="35"/>
        <v>0.44052863436123346</v>
      </c>
      <c r="Y21" s="208">
        <f t="shared" si="35"/>
        <v>0.45452943870899548</v>
      </c>
      <c r="Z21" s="208">
        <f t="shared" si="35"/>
        <v>2.0756611985269502</v>
      </c>
      <c r="AA21" s="208">
        <f t="shared" si="35"/>
        <v>0.63364055299539179</v>
      </c>
      <c r="AB21" s="216">
        <f t="shared" si="35"/>
        <v>1.7915904936014626</v>
      </c>
      <c r="AC21" s="208">
        <f t="shared" si="35"/>
        <v>1.0223765432098764</v>
      </c>
      <c r="AD21" s="208">
        <f t="shared" si="35"/>
        <v>1.9950124688279305</v>
      </c>
      <c r="AE21" s="208">
        <f t="shared" si="35"/>
        <v>1.3296141329614133</v>
      </c>
      <c r="AF21" s="208">
        <f t="shared" si="35"/>
        <v>0.90336134453781514</v>
      </c>
      <c r="AG21" s="208">
        <f t="shared" si="35"/>
        <v>1.4150483068215085</v>
      </c>
      <c r="AH21" s="208">
        <f t="shared" si="35"/>
        <v>1.4987912973408541</v>
      </c>
      <c r="AI21" s="208">
        <f t="shared" si="35"/>
        <v>1.1871113623516114</v>
      </c>
      <c r="AJ21" s="208">
        <f t="shared" si="35"/>
        <v>0.96647538508003628</v>
      </c>
      <c r="AK21" s="216">
        <f t="shared" si="35"/>
        <v>1.5146925174189638</v>
      </c>
      <c r="AL21" s="208">
        <f t="shared" si="35"/>
        <v>0.95846645367412153</v>
      </c>
      <c r="AM21" s="208">
        <f t="shared" si="35"/>
        <v>2.5840944531075967</v>
      </c>
      <c r="AN21" s="208">
        <f t="shared" si="35"/>
        <v>2.2957257211901525</v>
      </c>
      <c r="AO21" s="208">
        <f t="shared" si="35"/>
        <v>0.93763952969191844</v>
      </c>
      <c r="AP21" s="208">
        <f t="shared" si="35"/>
        <v>0.73268730796502013</v>
      </c>
      <c r="AQ21" s="208">
        <f t="shared" ref="AQ21:BV21" si="36">AQ119/AQ20%</f>
        <v>2.4295774647887329</v>
      </c>
      <c r="AR21" s="208">
        <f t="shared" si="36"/>
        <v>1.6353837576658612</v>
      </c>
      <c r="AS21" s="209">
        <f t="shared" si="36"/>
        <v>1.2452873300582659</v>
      </c>
      <c r="AT21" s="208">
        <f t="shared" si="36"/>
        <v>0.18668772887197529</v>
      </c>
      <c r="AU21" s="208">
        <f t="shared" si="36"/>
        <v>0.39008533116619265</v>
      </c>
      <c r="AV21" s="208">
        <f t="shared" si="36"/>
        <v>0.4921700223713647</v>
      </c>
      <c r="AW21" s="208">
        <f t="shared" si="36"/>
        <v>0.86271567891972989</v>
      </c>
      <c r="AX21" s="208">
        <f t="shared" si="36"/>
        <v>0.94140561597143324</v>
      </c>
      <c r="AY21" s="208">
        <f t="shared" si="36"/>
        <v>1.02029621503017</v>
      </c>
      <c r="AZ21" s="208">
        <f t="shared" si="36"/>
        <v>0.4218600191754554</v>
      </c>
      <c r="BA21" s="208">
        <f t="shared" si="36"/>
        <v>1.8616282300639067</v>
      </c>
      <c r="BB21" s="208">
        <f t="shared" si="36"/>
        <v>3.2149532710280373</v>
      </c>
      <c r="BC21" s="208">
        <f t="shared" si="36"/>
        <v>3.0038108047522978</v>
      </c>
      <c r="BD21" s="208">
        <f t="shared" si="36"/>
        <v>2.9234191293295204</v>
      </c>
      <c r="BE21" s="208">
        <f t="shared" si="36"/>
        <v>1.3361676283024597</v>
      </c>
      <c r="BF21" s="216">
        <f t="shared" si="36"/>
        <v>1.7039853541754681</v>
      </c>
      <c r="BG21" s="208">
        <f t="shared" si="36"/>
        <v>0.68181818181818177</v>
      </c>
      <c r="BH21" s="208">
        <f t="shared" si="36"/>
        <v>0.16062823487417455</v>
      </c>
      <c r="BI21" s="208">
        <f t="shared" si="36"/>
        <v>0.77240503650407355</v>
      </c>
      <c r="BJ21" s="208">
        <f t="shared" si="36"/>
        <v>0.74886799024730055</v>
      </c>
      <c r="BK21" s="208">
        <f t="shared" si="36"/>
        <v>0.30303030303030304</v>
      </c>
      <c r="BL21" s="208">
        <f t="shared" si="36"/>
        <v>0.19856043683296104</v>
      </c>
      <c r="BM21" s="208">
        <f t="shared" si="36"/>
        <v>2.0756611985269502</v>
      </c>
      <c r="BN21" s="208">
        <f t="shared" si="36"/>
        <v>0.80806246595242426</v>
      </c>
      <c r="BO21" s="208">
        <f t="shared" si="36"/>
        <v>0.29334115576415376</v>
      </c>
      <c r="BP21" s="208">
        <f t="shared" si="36"/>
        <v>1.7915904936014626</v>
      </c>
      <c r="BQ21" s="208">
        <f t="shared" si="36"/>
        <v>0.96181046676096194</v>
      </c>
      <c r="BR21" s="216">
        <f t="shared" si="36"/>
        <v>1.4275517487508922</v>
      </c>
      <c r="BS21" s="208">
        <f t="shared" si="36"/>
        <v>0.34466551778160737</v>
      </c>
      <c r="BT21" s="208">
        <f t="shared" si="36"/>
        <v>2.7676120768526986</v>
      </c>
      <c r="BU21" s="208">
        <f t="shared" si="36"/>
        <v>1.9950124688279305</v>
      </c>
      <c r="BV21" s="208">
        <f t="shared" si="36"/>
        <v>1.4150483068215085</v>
      </c>
      <c r="BW21" s="208">
        <f t="shared" ref="BW21:CL21" si="37">BW119/BW20%</f>
        <v>1.1871113623516114</v>
      </c>
      <c r="BX21" s="208">
        <f t="shared" si="37"/>
        <v>1.0223765432098764</v>
      </c>
      <c r="BY21" s="208">
        <f t="shared" si="37"/>
        <v>0.96647538508003628</v>
      </c>
      <c r="BZ21" s="208">
        <f t="shared" si="37"/>
        <v>1.4987912973408541</v>
      </c>
      <c r="CA21" s="208">
        <f t="shared" si="37"/>
        <v>0.90336134453781514</v>
      </c>
      <c r="CB21" s="216">
        <f t="shared" si="37"/>
        <v>1.5146925174189638</v>
      </c>
      <c r="CC21" s="208">
        <f t="shared" si="37"/>
        <v>0.93763952969191844</v>
      </c>
      <c r="CD21" s="208">
        <f t="shared" si="37"/>
        <v>0.73268730796502013</v>
      </c>
      <c r="CE21" s="208">
        <f t="shared" si="37"/>
        <v>0.95846645367412153</v>
      </c>
      <c r="CF21" s="208">
        <f t="shared" si="37"/>
        <v>0.29205607476635509</v>
      </c>
      <c r="CG21" s="208">
        <f t="shared" si="37"/>
        <v>2.5988388166989216</v>
      </c>
      <c r="CH21" s="208">
        <f t="shared" si="37"/>
        <v>2.5840944531075967</v>
      </c>
      <c r="CI21" s="208">
        <f t="shared" si="37"/>
        <v>1.6353837576658612</v>
      </c>
      <c r="CJ21" s="208">
        <f t="shared" si="37"/>
        <v>2.2957257211901525</v>
      </c>
      <c r="CK21" s="209">
        <f t="shared" si="37"/>
        <v>2.4295774647887329</v>
      </c>
      <c r="CL21" s="217">
        <f t="shared" si="37"/>
        <v>1.0216591744993868</v>
      </c>
    </row>
    <row r="22" spans="1:90">
      <c r="A22" s="93">
        <f>ROWS($A$3:A20)</f>
        <v>18</v>
      </c>
      <c r="B22" s="67" t="s">
        <v>70</v>
      </c>
      <c r="C22" s="241"/>
      <c r="D22" s="332"/>
      <c r="E22" s="333"/>
      <c r="F22" s="156"/>
      <c r="G22" s="177"/>
      <c r="H22" s="177"/>
      <c r="I22" s="178"/>
      <c r="J22" s="181"/>
      <c r="K22" s="156"/>
      <c r="L22" s="177"/>
      <c r="M22" s="177"/>
      <c r="N22" s="177"/>
      <c r="O22" s="177"/>
      <c r="P22" s="177"/>
      <c r="Q22" s="177">
        <f>'2001'!AU22</f>
        <v>0</v>
      </c>
      <c r="R22" s="177"/>
      <c r="S22" s="177"/>
      <c r="T22" s="177"/>
      <c r="U22" s="179"/>
      <c r="V22" s="177"/>
      <c r="W22" s="177"/>
      <c r="X22" s="177"/>
      <c r="Y22" s="177"/>
      <c r="Z22" s="177"/>
      <c r="AA22" s="177"/>
      <c r="AB22" s="179"/>
      <c r="AC22" s="177"/>
      <c r="AD22" s="177"/>
      <c r="AE22" s="177"/>
      <c r="AF22" s="177"/>
      <c r="AG22" s="177"/>
      <c r="AH22" s="177"/>
      <c r="AI22" s="177"/>
      <c r="AJ22" s="177"/>
      <c r="AK22" s="179"/>
      <c r="AL22" s="177"/>
      <c r="AM22" s="177"/>
      <c r="AN22" s="177"/>
      <c r="AO22" s="177"/>
      <c r="AP22" s="177"/>
      <c r="AQ22" s="177"/>
      <c r="AR22" s="177"/>
      <c r="AS22" s="178"/>
      <c r="AT22" s="177"/>
      <c r="AU22" s="177"/>
      <c r="AV22" s="177"/>
      <c r="AW22" s="177"/>
      <c r="AX22" s="177"/>
      <c r="AY22" s="177"/>
      <c r="AZ22" s="177"/>
      <c r="BA22" s="177"/>
      <c r="BB22" s="177"/>
      <c r="BC22" s="177"/>
      <c r="BD22" s="177"/>
      <c r="BE22" s="177"/>
      <c r="BF22" s="179"/>
      <c r="BG22" s="177"/>
      <c r="BH22" s="177"/>
      <c r="BI22" s="177"/>
      <c r="BJ22" s="177"/>
      <c r="BK22" s="177"/>
      <c r="BL22" s="177"/>
      <c r="BM22" s="177"/>
      <c r="BN22" s="177"/>
      <c r="BO22" s="177"/>
      <c r="BP22" s="177"/>
      <c r="BQ22" s="177"/>
      <c r="BR22" s="179"/>
      <c r="BS22" s="177"/>
      <c r="BT22" s="177"/>
      <c r="BU22" s="177"/>
      <c r="BV22" s="177"/>
      <c r="BW22" s="177"/>
      <c r="BX22" s="177"/>
      <c r="BY22" s="177"/>
      <c r="BZ22" s="177"/>
      <c r="CA22" s="177"/>
      <c r="CB22" s="179"/>
      <c r="CC22" s="177"/>
      <c r="CD22" s="177"/>
      <c r="CE22" s="177"/>
      <c r="CF22" s="177"/>
      <c r="CG22" s="177"/>
      <c r="CH22" s="177"/>
      <c r="CI22" s="177"/>
      <c r="CJ22" s="177"/>
      <c r="CK22" s="178"/>
      <c r="CL22" s="180"/>
    </row>
    <row r="23" spans="1:90">
      <c r="A23" s="93">
        <f>ROWS($A$3:A21)</f>
        <v>19</v>
      </c>
      <c r="B23" s="59" t="s">
        <v>272</v>
      </c>
      <c r="C23" s="244">
        <v>2001</v>
      </c>
      <c r="D23" s="332" t="s">
        <v>14</v>
      </c>
      <c r="E23" s="316">
        <v>40683</v>
      </c>
      <c r="F23" s="156">
        <v>23131</v>
      </c>
      <c r="G23" s="177">
        <v>8567</v>
      </c>
      <c r="H23" s="177">
        <v>22678</v>
      </c>
      <c r="I23" s="178">
        <v>17405</v>
      </c>
      <c r="J23" s="181"/>
      <c r="K23" s="156">
        <f>BF23</f>
        <v>2844</v>
      </c>
      <c r="L23" s="177">
        <f>AY23</f>
        <v>2243</v>
      </c>
      <c r="M23" s="177">
        <f>BD23</f>
        <v>2455</v>
      </c>
      <c r="N23" s="177">
        <f>AW23</f>
        <v>1138</v>
      </c>
      <c r="O23" s="177">
        <f>BE23</f>
        <v>795</v>
      </c>
      <c r="P23" s="177">
        <f>'2001'!AZ23+'2001'!BA23</f>
        <v>3834</v>
      </c>
      <c r="Q23" s="177">
        <f>'2001'!AU23</f>
        <v>1034</v>
      </c>
      <c r="R23" s="177">
        <f t="shared" ref="R23:R29" si="38">AT23+AX23</f>
        <v>2648</v>
      </c>
      <c r="S23" s="177">
        <f>AV23</f>
        <v>1157</v>
      </c>
      <c r="T23" s="177">
        <f t="shared" ref="T23:U26" si="39">BB23</f>
        <v>1957</v>
      </c>
      <c r="U23" s="179">
        <f t="shared" si="39"/>
        <v>3026</v>
      </c>
      <c r="V23" s="177">
        <f t="shared" ref="V23:V29" si="40">BG23+BJ23</f>
        <v>1341</v>
      </c>
      <c r="W23" s="177">
        <f>BR23</f>
        <v>1023</v>
      </c>
      <c r="X23" s="177">
        <f t="shared" ref="X23:X29" si="41">BH23+BI23</f>
        <v>1442</v>
      </c>
      <c r="Y23" s="177">
        <f t="shared" ref="Y23:Y29" si="42">BK23+BL23+BN23</f>
        <v>1728</v>
      </c>
      <c r="Z23" s="177">
        <f>BM23</f>
        <v>1418</v>
      </c>
      <c r="AA23" s="177">
        <f t="shared" ref="AA23:AA29" si="43">BO23+BQ23</f>
        <v>717</v>
      </c>
      <c r="AB23" s="179">
        <f>BP23</f>
        <v>898</v>
      </c>
      <c r="AC23" s="177">
        <f>BX23</f>
        <v>1601</v>
      </c>
      <c r="AD23" s="177">
        <f>BU23</f>
        <v>2643</v>
      </c>
      <c r="AE23" s="177">
        <f t="shared" ref="AE23:AE29" si="44">BS23+BT23</f>
        <v>5106</v>
      </c>
      <c r="AF23" s="177">
        <f>CA23</f>
        <v>1727</v>
      </c>
      <c r="AG23" s="177">
        <f>BV23</f>
        <v>5970</v>
      </c>
      <c r="AH23" s="177">
        <f>BZ23</f>
        <v>1379</v>
      </c>
      <c r="AI23" s="177">
        <f>BW23</f>
        <v>1395</v>
      </c>
      <c r="AJ23" s="177">
        <f>BY23</f>
        <v>753</v>
      </c>
      <c r="AK23" s="179">
        <f>CB23</f>
        <v>2104</v>
      </c>
      <c r="AL23" s="177">
        <f>CE23</f>
        <v>1287</v>
      </c>
      <c r="AM23" s="177">
        <f>CH23</f>
        <v>2727</v>
      </c>
      <c r="AN23" s="177">
        <f>CJ23</f>
        <v>3675</v>
      </c>
      <c r="AO23" s="177">
        <f t="shared" ref="AO23:AP26" si="45">CC23</f>
        <v>1714</v>
      </c>
      <c r="AP23" s="177">
        <f t="shared" si="45"/>
        <v>740</v>
      </c>
      <c r="AQ23" s="177">
        <f>CK23</f>
        <v>1997</v>
      </c>
      <c r="AR23" s="177">
        <f>CI23</f>
        <v>2311</v>
      </c>
      <c r="AS23" s="178">
        <f t="shared" ref="AS23:AS29" si="46">CF23+CG23</f>
        <v>2954</v>
      </c>
      <c r="AT23" s="177">
        <v>316</v>
      </c>
      <c r="AU23" s="177">
        <v>1034</v>
      </c>
      <c r="AV23" s="177">
        <v>1157</v>
      </c>
      <c r="AW23" s="181">
        <v>1138</v>
      </c>
      <c r="AX23" s="177">
        <v>2332</v>
      </c>
      <c r="AY23" s="177">
        <v>2243</v>
      </c>
      <c r="AZ23" s="177">
        <v>258</v>
      </c>
      <c r="BA23" s="177">
        <v>3576</v>
      </c>
      <c r="BB23" s="177">
        <v>1957</v>
      </c>
      <c r="BC23" s="177">
        <v>3026</v>
      </c>
      <c r="BD23" s="177">
        <v>2455</v>
      </c>
      <c r="BE23" s="177">
        <v>795</v>
      </c>
      <c r="BF23" s="179">
        <v>2844</v>
      </c>
      <c r="BG23" s="177">
        <v>254</v>
      </c>
      <c r="BH23" s="177">
        <v>112</v>
      </c>
      <c r="BI23" s="177">
        <v>1330</v>
      </c>
      <c r="BJ23" s="177">
        <v>1087</v>
      </c>
      <c r="BK23" s="177">
        <v>122</v>
      </c>
      <c r="BL23" s="177">
        <v>105</v>
      </c>
      <c r="BM23" s="177">
        <v>1418</v>
      </c>
      <c r="BN23" s="177">
        <v>1501</v>
      </c>
      <c r="BO23" s="177">
        <v>47</v>
      </c>
      <c r="BP23" s="177">
        <v>898</v>
      </c>
      <c r="BQ23" s="177">
        <v>670</v>
      </c>
      <c r="BR23" s="179">
        <v>1023</v>
      </c>
      <c r="BS23" s="177">
        <v>352</v>
      </c>
      <c r="BT23" s="177">
        <v>4754</v>
      </c>
      <c r="BU23" s="177">
        <v>2643</v>
      </c>
      <c r="BV23" s="177">
        <v>5970</v>
      </c>
      <c r="BW23" s="177">
        <v>1395</v>
      </c>
      <c r="BX23" s="177">
        <v>1601</v>
      </c>
      <c r="BY23" s="177">
        <v>753</v>
      </c>
      <c r="BZ23" s="177">
        <v>1379</v>
      </c>
      <c r="CA23" s="177">
        <v>1727</v>
      </c>
      <c r="CB23" s="179">
        <v>2104</v>
      </c>
      <c r="CC23" s="177">
        <v>1714</v>
      </c>
      <c r="CD23" s="177">
        <v>740</v>
      </c>
      <c r="CE23" s="177">
        <v>1287</v>
      </c>
      <c r="CF23" s="177">
        <v>179</v>
      </c>
      <c r="CG23" s="177">
        <v>2775</v>
      </c>
      <c r="CH23" s="177">
        <v>2727</v>
      </c>
      <c r="CI23" s="177">
        <v>2311</v>
      </c>
      <c r="CJ23" s="177">
        <v>3675</v>
      </c>
      <c r="CK23" s="178">
        <v>1997</v>
      </c>
      <c r="CL23" s="180">
        <v>71781</v>
      </c>
    </row>
    <row r="24" spans="1:90">
      <c r="A24" s="93">
        <f>ROWS($A$3:A22)</f>
        <v>20</v>
      </c>
      <c r="B24" s="59" t="s">
        <v>268</v>
      </c>
      <c r="C24" s="241"/>
      <c r="D24" s="332" t="s">
        <v>14</v>
      </c>
      <c r="E24" s="333"/>
      <c r="F24" s="156">
        <f>4763+3632</f>
        <v>8395</v>
      </c>
      <c r="G24" s="177">
        <f>1651+1830</f>
        <v>3481</v>
      </c>
      <c r="H24" s="177">
        <f>5474+4823</f>
        <v>10297</v>
      </c>
      <c r="I24" s="178">
        <f>872+2817</f>
        <v>3689</v>
      </c>
      <c r="J24" s="181"/>
      <c r="K24" s="156">
        <f>BF24</f>
        <v>566</v>
      </c>
      <c r="L24" s="177">
        <f>AY24</f>
        <v>1206</v>
      </c>
      <c r="M24" s="177">
        <f>BD24</f>
        <v>604</v>
      </c>
      <c r="N24" s="177">
        <f>AW24</f>
        <v>284</v>
      </c>
      <c r="O24" s="177">
        <f>BE24</f>
        <v>126</v>
      </c>
      <c r="P24" s="177">
        <f>'2001'!AZ24+'2001'!BA24</f>
        <v>2081</v>
      </c>
      <c r="Q24" s="177">
        <f>'2001'!AU24</f>
        <v>312</v>
      </c>
      <c r="R24" s="177">
        <f t="shared" si="38"/>
        <v>1545</v>
      </c>
      <c r="S24" s="177">
        <f>AV24</f>
        <v>498</v>
      </c>
      <c r="T24" s="177">
        <f t="shared" si="39"/>
        <v>663</v>
      </c>
      <c r="U24" s="179">
        <f t="shared" si="39"/>
        <v>510</v>
      </c>
      <c r="V24" s="177">
        <f t="shared" si="40"/>
        <v>942</v>
      </c>
      <c r="W24" s="177">
        <f>BR24</f>
        <v>391</v>
      </c>
      <c r="X24" s="177">
        <f t="shared" si="41"/>
        <v>642</v>
      </c>
      <c r="Y24" s="177">
        <f t="shared" si="42"/>
        <v>605</v>
      </c>
      <c r="Z24" s="177">
        <f>BM24</f>
        <v>318</v>
      </c>
      <c r="AA24" s="177">
        <f t="shared" si="43"/>
        <v>259</v>
      </c>
      <c r="AB24" s="179">
        <f>BP24</f>
        <v>324</v>
      </c>
      <c r="AC24" s="177">
        <f>BX24</f>
        <v>325</v>
      </c>
      <c r="AD24" s="177">
        <f>BU24</f>
        <v>1587</v>
      </c>
      <c r="AE24" s="177">
        <f t="shared" si="44"/>
        <v>2926</v>
      </c>
      <c r="AF24" s="177">
        <f>CA24</f>
        <v>654</v>
      </c>
      <c r="AG24" s="177">
        <f>BV24</f>
        <v>3242</v>
      </c>
      <c r="AH24" s="177">
        <f>BZ24</f>
        <v>460</v>
      </c>
      <c r="AI24" s="177">
        <f>BW24</f>
        <v>406</v>
      </c>
      <c r="AJ24" s="177">
        <f>BY24</f>
        <v>153</v>
      </c>
      <c r="AK24" s="179">
        <f>CB24</f>
        <v>544</v>
      </c>
      <c r="AL24" s="177">
        <f>CE24</f>
        <v>361</v>
      </c>
      <c r="AM24" s="177">
        <f>CH24</f>
        <v>419</v>
      </c>
      <c r="AN24" s="177">
        <f>CJ24</f>
        <v>635</v>
      </c>
      <c r="AO24" s="177">
        <f t="shared" si="45"/>
        <v>418</v>
      </c>
      <c r="AP24" s="177">
        <f t="shared" si="45"/>
        <v>243</v>
      </c>
      <c r="AQ24" s="177">
        <f>CK24</f>
        <v>374</v>
      </c>
      <c r="AR24" s="177">
        <f>CI24</f>
        <v>824</v>
      </c>
      <c r="AS24" s="178">
        <f t="shared" si="46"/>
        <v>415</v>
      </c>
      <c r="AT24" s="177">
        <f>150+68</f>
        <v>218</v>
      </c>
      <c r="AU24" s="177">
        <f>124+188</f>
        <v>312</v>
      </c>
      <c r="AV24" s="177">
        <f>205+293</f>
        <v>498</v>
      </c>
      <c r="AW24" s="181">
        <f>105+179</f>
        <v>284</v>
      </c>
      <c r="AX24" s="177">
        <f>1055+272</f>
        <v>1327</v>
      </c>
      <c r="AY24" s="177">
        <f>630+576</f>
        <v>1206</v>
      </c>
      <c r="AZ24" s="177">
        <f>59+37</f>
        <v>96</v>
      </c>
      <c r="BA24" s="177">
        <f>1543+442</f>
        <v>1985</v>
      </c>
      <c r="BB24" s="177">
        <f>326+337</f>
        <v>663</v>
      </c>
      <c r="BC24" s="177">
        <f>77+433</f>
        <v>510</v>
      </c>
      <c r="BD24" s="177">
        <f>338+266</f>
        <v>604</v>
      </c>
      <c r="BE24" s="177">
        <v>126</v>
      </c>
      <c r="BF24" s="179">
        <f>106+460</f>
        <v>566</v>
      </c>
      <c r="BG24" s="177">
        <v>209</v>
      </c>
      <c r="BH24" s="177">
        <v>49</v>
      </c>
      <c r="BI24" s="177">
        <f>337+256</f>
        <v>593</v>
      </c>
      <c r="BJ24" s="177">
        <f>512+221</f>
        <v>733</v>
      </c>
      <c r="BK24" s="177">
        <v>54</v>
      </c>
      <c r="BL24" s="177">
        <v>31</v>
      </c>
      <c r="BM24" s="177">
        <f>45+273</f>
        <v>318</v>
      </c>
      <c r="BN24" s="177">
        <f>312+208</f>
        <v>520</v>
      </c>
      <c r="BO24" s="177">
        <v>26</v>
      </c>
      <c r="BP24" s="177">
        <f>37+287</f>
        <v>324</v>
      </c>
      <c r="BQ24" s="177">
        <f>233</f>
        <v>233</v>
      </c>
      <c r="BR24" s="179">
        <f>30+361</f>
        <v>391</v>
      </c>
      <c r="BS24" s="177">
        <f>181+53</f>
        <v>234</v>
      </c>
      <c r="BT24" s="177">
        <f>1941+751</f>
        <v>2692</v>
      </c>
      <c r="BU24" s="177">
        <f>1086+501</f>
        <v>1587</v>
      </c>
      <c r="BV24" s="177">
        <f>1568+1674</f>
        <v>3242</v>
      </c>
      <c r="BW24" s="177">
        <f>34+372</f>
        <v>406</v>
      </c>
      <c r="BX24" s="177">
        <f>29+296</f>
        <v>325</v>
      </c>
      <c r="BY24" s="177">
        <f>14+139</f>
        <v>153</v>
      </c>
      <c r="BZ24" s="177">
        <f>237+223</f>
        <v>460</v>
      </c>
      <c r="CA24" s="177">
        <f>317+337</f>
        <v>654</v>
      </c>
      <c r="CB24" s="179">
        <f>67+477</f>
        <v>544</v>
      </c>
      <c r="CC24" s="177">
        <f>91+327</f>
        <v>418</v>
      </c>
      <c r="CD24" s="177">
        <f>58+185</f>
        <v>243</v>
      </c>
      <c r="CE24" s="177">
        <f>37+324</f>
        <v>361</v>
      </c>
      <c r="CF24" s="177">
        <v>41</v>
      </c>
      <c r="CG24" s="177">
        <f>91+283</f>
        <v>374</v>
      </c>
      <c r="CH24" s="177">
        <f>80+339</f>
        <v>419</v>
      </c>
      <c r="CI24" s="177">
        <f>327+497</f>
        <v>824</v>
      </c>
      <c r="CJ24" s="177">
        <f>120+515</f>
        <v>635</v>
      </c>
      <c r="CK24" s="178">
        <f>52+322</f>
        <v>374</v>
      </c>
      <c r="CL24" s="180">
        <f>12760+13102</f>
        <v>25862</v>
      </c>
    </row>
    <row r="25" spans="1:90">
      <c r="A25" s="93">
        <f>ROWS($A$3:A23)</f>
        <v>21</v>
      </c>
      <c r="B25" s="59" t="s">
        <v>269</v>
      </c>
      <c r="C25" s="241"/>
      <c r="D25" s="332" t="s">
        <v>14</v>
      </c>
      <c r="E25" s="333"/>
      <c r="F25" s="156">
        <v>3205</v>
      </c>
      <c r="G25" s="177">
        <v>1293</v>
      </c>
      <c r="H25" s="177">
        <v>4117</v>
      </c>
      <c r="I25" s="178">
        <v>2788</v>
      </c>
      <c r="J25" s="181"/>
      <c r="K25" s="156">
        <f>BF25</f>
        <v>517</v>
      </c>
      <c r="L25" s="177">
        <f>AY25</f>
        <v>333</v>
      </c>
      <c r="M25" s="177">
        <f>BD25</f>
        <v>330</v>
      </c>
      <c r="N25" s="177">
        <f>AW25</f>
        <v>175</v>
      </c>
      <c r="O25" s="177">
        <f>BE25</f>
        <v>96</v>
      </c>
      <c r="P25" s="177">
        <f>'2001'!AZ25+'2001'!BA25</f>
        <v>427</v>
      </c>
      <c r="Q25" s="177">
        <f>'2001'!AU25</f>
        <v>182</v>
      </c>
      <c r="R25" s="177">
        <f t="shared" si="38"/>
        <v>214</v>
      </c>
      <c r="S25" s="177">
        <f>AV25</f>
        <v>188</v>
      </c>
      <c r="T25" s="177">
        <f t="shared" si="39"/>
        <v>284</v>
      </c>
      <c r="U25" s="179">
        <f t="shared" si="39"/>
        <v>459</v>
      </c>
      <c r="V25" s="177">
        <f t="shared" si="40"/>
        <v>145</v>
      </c>
      <c r="W25" s="177">
        <f>BR25</f>
        <v>218</v>
      </c>
      <c r="X25" s="177">
        <f t="shared" si="41"/>
        <v>180</v>
      </c>
      <c r="Y25" s="177">
        <f t="shared" si="42"/>
        <v>210</v>
      </c>
      <c r="Z25" s="177">
        <f>BM25</f>
        <v>228</v>
      </c>
      <c r="AA25" s="177">
        <f t="shared" si="43"/>
        <v>96</v>
      </c>
      <c r="AB25" s="179">
        <f>BP25</f>
        <v>216</v>
      </c>
      <c r="AC25" s="177">
        <f>BX25</f>
        <v>325</v>
      </c>
      <c r="AD25" s="177">
        <f>BU25</f>
        <v>369</v>
      </c>
      <c r="AE25" s="177">
        <f t="shared" si="44"/>
        <v>695</v>
      </c>
      <c r="AF25" s="177">
        <f>CA25</f>
        <v>336</v>
      </c>
      <c r="AG25" s="177">
        <f>BV25</f>
        <v>1215</v>
      </c>
      <c r="AH25" s="177">
        <f>BZ25</f>
        <v>193</v>
      </c>
      <c r="AI25" s="177">
        <f>BW25</f>
        <v>314</v>
      </c>
      <c r="AJ25" s="177">
        <f>BY25</f>
        <v>158</v>
      </c>
      <c r="AK25" s="179">
        <f>CB25</f>
        <v>512</v>
      </c>
      <c r="AL25" s="177">
        <f>CE25</f>
        <v>277</v>
      </c>
      <c r="AM25" s="177">
        <f>CH25</f>
        <v>366</v>
      </c>
      <c r="AN25" s="177">
        <f>CJ25</f>
        <v>446</v>
      </c>
      <c r="AO25" s="177">
        <f t="shared" si="45"/>
        <v>330</v>
      </c>
      <c r="AP25" s="177">
        <f t="shared" si="45"/>
        <v>140</v>
      </c>
      <c r="AQ25" s="177">
        <f>CK25</f>
        <v>359</v>
      </c>
      <c r="AR25" s="177">
        <f>CI25</f>
        <v>416</v>
      </c>
      <c r="AS25" s="178">
        <f t="shared" si="46"/>
        <v>454</v>
      </c>
      <c r="AT25" s="177">
        <v>44</v>
      </c>
      <c r="AU25" s="177">
        <v>182</v>
      </c>
      <c r="AV25" s="177">
        <v>188</v>
      </c>
      <c r="AW25" s="181">
        <v>175</v>
      </c>
      <c r="AX25" s="177">
        <v>170</v>
      </c>
      <c r="AY25" s="177">
        <v>333</v>
      </c>
      <c r="AZ25" s="177">
        <v>60</v>
      </c>
      <c r="BA25" s="177">
        <f>367</f>
        <v>367</v>
      </c>
      <c r="BB25" s="177">
        <v>284</v>
      </c>
      <c r="BC25" s="177">
        <v>459</v>
      </c>
      <c r="BD25" s="177">
        <v>330</v>
      </c>
      <c r="BE25" s="177">
        <v>96</v>
      </c>
      <c r="BF25" s="179">
        <v>517</v>
      </c>
      <c r="BG25" s="177">
        <v>22</v>
      </c>
      <c r="BH25" s="177">
        <v>20</v>
      </c>
      <c r="BI25" s="177">
        <v>160</v>
      </c>
      <c r="BJ25" s="177">
        <f>123</f>
        <v>123</v>
      </c>
      <c r="BK25" s="177">
        <v>18</v>
      </c>
      <c r="BL25" s="177">
        <v>10</v>
      </c>
      <c r="BM25" s="177">
        <v>228</v>
      </c>
      <c r="BN25" s="177">
        <v>182</v>
      </c>
      <c r="BO25" s="177">
        <v>4</v>
      </c>
      <c r="BP25" s="177">
        <v>216</v>
      </c>
      <c r="BQ25" s="177">
        <v>92</v>
      </c>
      <c r="BR25" s="179">
        <v>218</v>
      </c>
      <c r="BS25" s="177">
        <v>29</v>
      </c>
      <c r="BT25" s="177">
        <f>666</f>
        <v>666</v>
      </c>
      <c r="BU25" s="177">
        <v>369</v>
      </c>
      <c r="BV25" s="177">
        <v>1215</v>
      </c>
      <c r="BW25" s="177">
        <v>314</v>
      </c>
      <c r="BX25" s="177">
        <v>325</v>
      </c>
      <c r="BY25" s="177">
        <f>158</f>
        <v>158</v>
      </c>
      <c r="BZ25" s="177">
        <v>193</v>
      </c>
      <c r="CA25" s="177">
        <v>336</v>
      </c>
      <c r="CB25" s="179">
        <v>512</v>
      </c>
      <c r="CC25" s="177">
        <v>330</v>
      </c>
      <c r="CD25" s="177">
        <v>140</v>
      </c>
      <c r="CE25" s="177">
        <v>277</v>
      </c>
      <c r="CF25" s="177">
        <v>15</v>
      </c>
      <c r="CG25" s="177">
        <v>439</v>
      </c>
      <c r="CH25" s="177">
        <v>366</v>
      </c>
      <c r="CI25" s="177">
        <v>416</v>
      </c>
      <c r="CJ25" s="177">
        <v>446</v>
      </c>
      <c r="CK25" s="178">
        <v>359</v>
      </c>
      <c r="CL25" s="180">
        <v>11403</v>
      </c>
    </row>
    <row r="26" spans="1:90">
      <c r="A26" s="93">
        <f>ROWS($A$3:A24)</f>
        <v>22</v>
      </c>
      <c r="B26" s="59" t="s">
        <v>270</v>
      </c>
      <c r="C26" s="241"/>
      <c r="D26" s="332" t="s">
        <v>14</v>
      </c>
      <c r="E26" s="333"/>
      <c r="F26" s="156">
        <f>2108+1775</f>
        <v>3883</v>
      </c>
      <c r="G26" s="177">
        <f>670+488</f>
        <v>1158</v>
      </c>
      <c r="H26" s="177">
        <f>2146+1571</f>
        <v>3717</v>
      </c>
      <c r="I26" s="178">
        <f>2020+1902</f>
        <v>3922</v>
      </c>
      <c r="J26" s="181"/>
      <c r="K26" s="156">
        <f>BF26</f>
        <v>713</v>
      </c>
      <c r="L26" s="177">
        <f>AY26</f>
        <v>297</v>
      </c>
      <c r="M26" s="177">
        <f>BD26</f>
        <v>488</v>
      </c>
      <c r="N26" s="177">
        <f>AW26</f>
        <v>200</v>
      </c>
      <c r="O26" s="177">
        <f>BE26</f>
        <v>155</v>
      </c>
      <c r="P26" s="177">
        <f>'2001'!AZ26+'2001'!BA26</f>
        <v>416</v>
      </c>
      <c r="Q26" s="177">
        <f>'2001'!AU26</f>
        <v>207</v>
      </c>
      <c r="R26" s="177">
        <f t="shared" si="38"/>
        <v>243</v>
      </c>
      <c r="S26" s="177">
        <f>AV26</f>
        <v>169</v>
      </c>
      <c r="T26" s="177">
        <f t="shared" si="39"/>
        <v>347</v>
      </c>
      <c r="U26" s="179">
        <f t="shared" si="39"/>
        <v>648</v>
      </c>
      <c r="V26" s="177">
        <f t="shared" si="40"/>
        <v>102</v>
      </c>
      <c r="W26" s="177">
        <f>BR26</f>
        <v>156</v>
      </c>
      <c r="X26" s="177">
        <f t="shared" si="41"/>
        <v>162</v>
      </c>
      <c r="Y26" s="177">
        <f t="shared" si="42"/>
        <v>234</v>
      </c>
      <c r="Z26" s="177">
        <f>BM26</f>
        <v>266</v>
      </c>
      <c r="AA26" s="177">
        <f t="shared" si="43"/>
        <v>100</v>
      </c>
      <c r="AB26" s="179">
        <f>BP26</f>
        <v>138</v>
      </c>
      <c r="AC26" s="177">
        <f>BX26</f>
        <v>304</v>
      </c>
      <c r="AD26" s="177">
        <f>BU26</f>
        <v>377</v>
      </c>
      <c r="AE26" s="177">
        <f t="shared" si="44"/>
        <v>625</v>
      </c>
      <c r="AF26" s="177">
        <f>CA26</f>
        <v>347</v>
      </c>
      <c r="AG26" s="177">
        <f>BV26</f>
        <v>874</v>
      </c>
      <c r="AH26" s="177">
        <f>BZ26</f>
        <v>252</v>
      </c>
      <c r="AI26" s="177">
        <f>BW26</f>
        <v>283</v>
      </c>
      <c r="AJ26" s="177">
        <f>BY26</f>
        <v>170</v>
      </c>
      <c r="AK26" s="179">
        <f>CB26</f>
        <v>485</v>
      </c>
      <c r="AL26" s="177">
        <f>CE26</f>
        <v>266</v>
      </c>
      <c r="AM26" s="177">
        <f>CH26</f>
        <v>575</v>
      </c>
      <c r="AN26" s="177">
        <f>CJ26</f>
        <v>838</v>
      </c>
      <c r="AO26" s="177">
        <f t="shared" si="45"/>
        <v>390</v>
      </c>
      <c r="AP26" s="177">
        <f t="shared" si="45"/>
        <v>130</v>
      </c>
      <c r="AQ26" s="177">
        <f>CK26</f>
        <v>482</v>
      </c>
      <c r="AR26" s="177">
        <f>CI26</f>
        <v>518</v>
      </c>
      <c r="AS26" s="178">
        <f t="shared" si="46"/>
        <v>723</v>
      </c>
      <c r="AT26" s="181">
        <v>19</v>
      </c>
      <c r="AU26" s="181">
        <f>117+90</f>
        <v>207</v>
      </c>
      <c r="AV26" s="181">
        <f>93+76</f>
        <v>169</v>
      </c>
      <c r="AW26" s="181">
        <f>105+95</f>
        <v>200</v>
      </c>
      <c r="AX26" s="181">
        <f>111+113</f>
        <v>224</v>
      </c>
      <c r="AY26" s="177">
        <f>183+114</f>
        <v>297</v>
      </c>
      <c r="AZ26" s="177">
        <v>37</v>
      </c>
      <c r="BA26" s="177">
        <f>214+165</f>
        <v>379</v>
      </c>
      <c r="BB26" s="177">
        <f>203+144</f>
        <v>347</v>
      </c>
      <c r="BC26" s="177">
        <f>337+311</f>
        <v>648</v>
      </c>
      <c r="BD26" s="177">
        <f>272+216</f>
        <v>488</v>
      </c>
      <c r="BE26" s="177">
        <v>155</v>
      </c>
      <c r="BF26" s="179">
        <f>371+342</f>
        <v>713</v>
      </c>
      <c r="BG26" s="177">
        <v>8</v>
      </c>
      <c r="BH26" s="177">
        <v>13</v>
      </c>
      <c r="BI26" s="177">
        <f>81+68</f>
        <v>149</v>
      </c>
      <c r="BJ26" s="177">
        <f>56+38</f>
        <v>94</v>
      </c>
      <c r="BK26" s="177">
        <v>17</v>
      </c>
      <c r="BL26" s="177">
        <v>9</v>
      </c>
      <c r="BM26" s="177">
        <f>152+114</f>
        <v>266</v>
      </c>
      <c r="BN26" s="177">
        <f>109+99</f>
        <v>208</v>
      </c>
      <c r="BO26" s="177">
        <v>1</v>
      </c>
      <c r="BP26" s="177">
        <f>88+50</f>
        <v>138</v>
      </c>
      <c r="BQ26" s="177">
        <v>99</v>
      </c>
      <c r="BR26" s="179">
        <f>99+57</f>
        <v>156</v>
      </c>
      <c r="BS26" s="177">
        <f>24+19</f>
        <v>43</v>
      </c>
      <c r="BT26" s="177">
        <f>325+257</f>
        <v>582</v>
      </c>
      <c r="BU26" s="177">
        <f>230+147</f>
        <v>377</v>
      </c>
      <c r="BV26" s="177">
        <f>594+280</f>
        <v>874</v>
      </c>
      <c r="BW26" s="177">
        <f>156+127</f>
        <v>283</v>
      </c>
      <c r="BX26" s="177">
        <f>148+156</f>
        <v>304</v>
      </c>
      <c r="BY26" s="177">
        <f>80+90</f>
        <v>170</v>
      </c>
      <c r="BZ26" s="177">
        <f>141+111</f>
        <v>252</v>
      </c>
      <c r="CA26" s="177">
        <f>181+166</f>
        <v>347</v>
      </c>
      <c r="CB26" s="179">
        <f>267+218</f>
        <v>485</v>
      </c>
      <c r="CC26" s="177">
        <f>196+194</f>
        <v>390</v>
      </c>
      <c r="CD26" s="177">
        <f>82+48</f>
        <v>130</v>
      </c>
      <c r="CE26" s="177">
        <f>164+102</f>
        <v>266</v>
      </c>
      <c r="CF26" s="177">
        <v>39</v>
      </c>
      <c r="CG26" s="177">
        <f>356+328</f>
        <v>684</v>
      </c>
      <c r="CH26" s="177">
        <f>291+284</f>
        <v>575</v>
      </c>
      <c r="CI26" s="177">
        <f>287+231</f>
        <v>518</v>
      </c>
      <c r="CJ26" s="177">
        <f>381+457</f>
        <v>838</v>
      </c>
      <c r="CK26" s="178">
        <f>244+238</f>
        <v>482</v>
      </c>
      <c r="CL26" s="180">
        <f>6944+5736</f>
        <v>12680</v>
      </c>
    </row>
    <row r="27" spans="1:90">
      <c r="A27" s="93">
        <f>ROWS($A$3:A25)</f>
        <v>23</v>
      </c>
      <c r="B27" s="59" t="s">
        <v>271</v>
      </c>
      <c r="C27" s="241"/>
      <c r="D27" s="332" t="s">
        <v>14</v>
      </c>
      <c r="E27" s="333"/>
      <c r="F27" s="156">
        <f>1125+1025+1596+1169</f>
        <v>4915</v>
      </c>
      <c r="G27" s="177">
        <f>299+266+419+332</f>
        <v>1316</v>
      </c>
      <c r="H27" s="177">
        <f>753+653+914+550</f>
        <v>2870</v>
      </c>
      <c r="I27" s="178">
        <f>1088+980+1473+1074</f>
        <v>4615</v>
      </c>
      <c r="J27" s="181"/>
      <c r="K27" s="156">
        <f>BF27</f>
        <v>675</v>
      </c>
      <c r="L27" s="177">
        <f>AY27</f>
        <v>291</v>
      </c>
      <c r="M27" s="177">
        <f>BD27</f>
        <v>640</v>
      </c>
      <c r="N27" s="177">
        <f>AW27</f>
        <v>305</v>
      </c>
      <c r="O27" s="177">
        <f>BE27</f>
        <v>225</v>
      </c>
      <c r="P27" s="177">
        <f>'2001'!AZ27+'2001'!BA27</f>
        <v>566</v>
      </c>
      <c r="Q27" s="177">
        <f>'2001'!AU27</f>
        <v>192</v>
      </c>
      <c r="R27" s="177">
        <f t="shared" si="38"/>
        <v>459</v>
      </c>
      <c r="S27" s="177">
        <f>AV27</f>
        <v>187</v>
      </c>
      <c r="T27" s="177">
        <f>BB27</f>
        <v>411</v>
      </c>
      <c r="U27" s="179">
        <f>BC27</f>
        <v>964</v>
      </c>
      <c r="V27" s="177">
        <f>BG27+BJ27</f>
        <v>65</v>
      </c>
      <c r="W27" s="177">
        <f>BR27</f>
        <v>145</v>
      </c>
      <c r="X27" s="177">
        <f>BH27+BI27</f>
        <v>178</v>
      </c>
      <c r="Y27" s="177">
        <f>BK27+BL27+BN27</f>
        <v>390</v>
      </c>
      <c r="Z27" s="177">
        <f>BM27</f>
        <v>293</v>
      </c>
      <c r="AA27" s="177">
        <f>BO27+BQ27</f>
        <v>125</v>
      </c>
      <c r="AB27" s="179">
        <f>BP27</f>
        <v>120</v>
      </c>
      <c r="AC27" s="177">
        <f>BX27</f>
        <v>406</v>
      </c>
      <c r="AD27" s="177">
        <f>BU27</f>
        <v>240</v>
      </c>
      <c r="AE27" s="177">
        <f t="shared" si="44"/>
        <v>653</v>
      </c>
      <c r="AF27" s="177">
        <f>CA27</f>
        <v>294</v>
      </c>
      <c r="AG27" s="177">
        <f>BV27</f>
        <v>393</v>
      </c>
      <c r="AH27" s="177">
        <f>BZ27</f>
        <v>230</v>
      </c>
      <c r="AI27" s="177">
        <f>BW27</f>
        <v>196</v>
      </c>
      <c r="AJ27" s="177">
        <f>BY27</f>
        <v>103</v>
      </c>
      <c r="AK27" s="179">
        <f>CB27</f>
        <v>355</v>
      </c>
      <c r="AL27" s="177">
        <f>CE27</f>
        <v>174</v>
      </c>
      <c r="AM27" s="177">
        <f>CH27</f>
        <v>900</v>
      </c>
      <c r="AN27" s="177">
        <f>CJ27</f>
        <v>1354</v>
      </c>
      <c r="AO27" s="177">
        <f>CC27</f>
        <v>351</v>
      </c>
      <c r="AP27" s="177">
        <f>CD27</f>
        <v>113</v>
      </c>
      <c r="AQ27" s="177">
        <f>CK27</f>
        <v>432</v>
      </c>
      <c r="AR27" s="177">
        <f>CI27</f>
        <v>433</v>
      </c>
      <c r="AS27" s="178">
        <f>CF27+CG27</f>
        <v>858</v>
      </c>
      <c r="AT27" s="181">
        <v>24</v>
      </c>
      <c r="AU27" s="181">
        <f>38+38+72+44</f>
        <v>192</v>
      </c>
      <c r="AV27" s="181">
        <f>44+44+55+44</f>
        <v>187</v>
      </c>
      <c r="AW27" s="181">
        <f>64+59+90+92</f>
        <v>305</v>
      </c>
      <c r="AX27" s="181">
        <f>95+87+159+94</f>
        <v>435</v>
      </c>
      <c r="AY27" s="177">
        <f>81+63+91+56</f>
        <v>291</v>
      </c>
      <c r="AZ27" s="177">
        <v>48</v>
      </c>
      <c r="BA27" s="177">
        <f>115+109+175+119</f>
        <v>518</v>
      </c>
      <c r="BB27" s="177">
        <f>95+94+130+92</f>
        <v>411</v>
      </c>
      <c r="BC27" s="177">
        <f>204+187+312+261</f>
        <v>964</v>
      </c>
      <c r="BD27" s="177">
        <f>159+137+214+130</f>
        <v>640</v>
      </c>
      <c r="BE27" s="177">
        <f>47+40+75+63</f>
        <v>225</v>
      </c>
      <c r="BF27" s="179">
        <f>172+149+195+159</f>
        <v>675</v>
      </c>
      <c r="BG27" s="177">
        <v>8</v>
      </c>
      <c r="BH27" s="177">
        <v>15</v>
      </c>
      <c r="BI27" s="177">
        <f>37+35+48+43</f>
        <v>163</v>
      </c>
      <c r="BJ27" s="177">
        <f>23+11+14+9</f>
        <v>57</v>
      </c>
      <c r="BK27" s="177">
        <v>24</v>
      </c>
      <c r="BL27" s="177">
        <v>39</v>
      </c>
      <c r="BM27" s="177">
        <f>63+60+98+72</f>
        <v>293</v>
      </c>
      <c r="BN27" s="177">
        <f>66+63+105+93</f>
        <v>327</v>
      </c>
      <c r="BO27" s="177">
        <v>7</v>
      </c>
      <c r="BP27" s="177">
        <f>60+60</f>
        <v>120</v>
      </c>
      <c r="BQ27" s="177">
        <f>28+10+44+36</f>
        <v>118</v>
      </c>
      <c r="BR27" s="179">
        <f>34+32+41+38</f>
        <v>145</v>
      </c>
      <c r="BS27" s="177">
        <f>7+9+12+5</f>
        <v>33</v>
      </c>
      <c r="BT27" s="177">
        <f>161+165+198+96</f>
        <v>620</v>
      </c>
      <c r="BU27" s="177">
        <f>83+49+73+35</f>
        <v>240</v>
      </c>
      <c r="BV27" s="177">
        <f>136+81+107+69</f>
        <v>393</v>
      </c>
      <c r="BW27" s="177">
        <f>42+44+56+54</f>
        <v>196</v>
      </c>
      <c r="BX27" s="177">
        <f>90+98+140+78</f>
        <v>406</v>
      </c>
      <c r="BY27" s="177">
        <f>23+20+32+28</f>
        <v>103</v>
      </c>
      <c r="BZ27" s="177">
        <f>56+43+78+53</f>
        <v>230</v>
      </c>
      <c r="CA27" s="177">
        <f>88+72+95+39</f>
        <v>294</v>
      </c>
      <c r="CB27" s="179">
        <f>67+72+123+93</f>
        <v>355</v>
      </c>
      <c r="CC27" s="177">
        <f>72+76+122+81</f>
        <v>351</v>
      </c>
      <c r="CD27" s="177">
        <f>32+27+28+26</f>
        <v>113</v>
      </c>
      <c r="CE27" s="177">
        <f>50+28+53+43</f>
        <v>174</v>
      </c>
      <c r="CF27" s="177">
        <v>48</v>
      </c>
      <c r="CG27" s="177">
        <f>183+180+265+182</f>
        <v>810</v>
      </c>
      <c r="CH27" s="177">
        <f>189+176+301+234</f>
        <v>900</v>
      </c>
      <c r="CI27" s="177">
        <f>139+102+118+74</f>
        <v>433</v>
      </c>
      <c r="CJ27" s="177">
        <f>308+297+421+328</f>
        <v>1354</v>
      </c>
      <c r="CK27" s="178">
        <f>103+85+149+95</f>
        <v>432</v>
      </c>
      <c r="CL27" s="180">
        <f>3265+2924+4402+3125</f>
        <v>13716</v>
      </c>
    </row>
    <row r="28" spans="1:90">
      <c r="A28" s="93">
        <f>ROWS($A$3:A26)</f>
        <v>24</v>
      </c>
      <c r="B28" s="59" t="s">
        <v>5</v>
      </c>
      <c r="C28" s="241"/>
      <c r="D28" s="332" t="s">
        <v>14</v>
      </c>
      <c r="E28" s="333"/>
      <c r="F28" s="156">
        <f>1595+640</f>
        <v>2235</v>
      </c>
      <c r="G28" s="177">
        <f>541+317</f>
        <v>858</v>
      </c>
      <c r="H28" s="177">
        <f>822+434</f>
        <v>1256</v>
      </c>
      <c r="I28" s="178">
        <f>1393+514</f>
        <v>1907</v>
      </c>
      <c r="J28" s="181"/>
      <c r="K28" s="156">
        <f t="shared" ref="K28:K33" si="47">BF28</f>
        <v>302</v>
      </c>
      <c r="L28" s="177">
        <f t="shared" ref="L28:L33" si="48">AY28</f>
        <v>98</v>
      </c>
      <c r="M28" s="177">
        <f t="shared" ref="M28:M33" si="49">BD28</f>
        <v>279</v>
      </c>
      <c r="N28" s="177">
        <f t="shared" ref="N28:N33" si="50">AW28</f>
        <v>153</v>
      </c>
      <c r="O28" s="177">
        <f t="shared" ref="O28:O33" si="51">BE28</f>
        <v>153</v>
      </c>
      <c r="P28" s="177">
        <f>'2001'!AZ28+'2001'!BA28</f>
        <v>278</v>
      </c>
      <c r="Q28" s="177">
        <f>'2001'!AU28</f>
        <v>113</v>
      </c>
      <c r="R28" s="177">
        <f t="shared" si="38"/>
        <v>166</v>
      </c>
      <c r="S28" s="177">
        <f t="shared" ref="S28:S33" si="52">AV28</f>
        <v>90</v>
      </c>
      <c r="T28" s="177">
        <f t="shared" ref="T28:U33" si="53">BB28</f>
        <v>202</v>
      </c>
      <c r="U28" s="179">
        <f t="shared" si="53"/>
        <v>401</v>
      </c>
      <c r="V28" s="177">
        <f t="shared" si="40"/>
        <v>40</v>
      </c>
      <c r="W28" s="177">
        <f t="shared" ref="W28:W33" si="54">BR28</f>
        <v>75</v>
      </c>
      <c r="X28" s="177">
        <f t="shared" si="41"/>
        <v>159</v>
      </c>
      <c r="Y28" s="177">
        <f t="shared" si="42"/>
        <v>233</v>
      </c>
      <c r="Z28" s="177">
        <f t="shared" ref="Z28:Z33" si="55">BM28</f>
        <v>191</v>
      </c>
      <c r="AA28" s="177">
        <f t="shared" si="43"/>
        <v>91</v>
      </c>
      <c r="AB28" s="179">
        <f t="shared" ref="AB28:AB33" si="56">BP28</f>
        <v>69</v>
      </c>
      <c r="AC28" s="177">
        <f t="shared" ref="AC28:AC33" si="57">BX28</f>
        <v>195</v>
      </c>
      <c r="AD28" s="177">
        <f t="shared" ref="AD28:AD33" si="58">BU28</f>
        <v>51</v>
      </c>
      <c r="AE28" s="177">
        <f t="shared" si="44"/>
        <v>174</v>
      </c>
      <c r="AF28" s="177">
        <f t="shared" ref="AF28:AF33" si="59">CA28</f>
        <v>87</v>
      </c>
      <c r="AG28" s="177">
        <f t="shared" ref="AG28:AG33" si="60">BV28</f>
        <v>173</v>
      </c>
      <c r="AH28" s="177">
        <f t="shared" ref="AH28:AH33" si="61">BZ28</f>
        <v>172</v>
      </c>
      <c r="AI28" s="177">
        <f t="shared" ref="AI28:AI33" si="62">BW28</f>
        <v>143</v>
      </c>
      <c r="AJ28" s="177">
        <f t="shared" ref="AJ28:AJ33" si="63">BY28</f>
        <v>90</v>
      </c>
      <c r="AK28" s="179">
        <f t="shared" ref="AK28:AK33" si="64">CB28</f>
        <v>171</v>
      </c>
      <c r="AL28" s="177">
        <f t="shared" ref="AL28:AL33" si="65">CE28</f>
        <v>122</v>
      </c>
      <c r="AM28" s="177">
        <f t="shared" ref="AM28:AM33" si="66">CH28</f>
        <v>399</v>
      </c>
      <c r="AN28" s="177">
        <f t="shared" ref="AN28:AN33" si="67">CJ28</f>
        <v>363</v>
      </c>
      <c r="AO28" s="177">
        <f t="shared" ref="AO28:AP33" si="68">CC28</f>
        <v>153</v>
      </c>
      <c r="AP28" s="177">
        <f t="shared" si="68"/>
        <v>63</v>
      </c>
      <c r="AQ28" s="177">
        <f t="shared" ref="AQ28:AQ33" si="69">CK28</f>
        <v>256</v>
      </c>
      <c r="AR28" s="177">
        <f t="shared" ref="AR28:AR33" si="70">CI28</f>
        <v>107</v>
      </c>
      <c r="AS28" s="178">
        <f t="shared" si="46"/>
        <v>444</v>
      </c>
      <c r="AT28" s="181">
        <v>10</v>
      </c>
      <c r="AU28" s="181">
        <v>113</v>
      </c>
      <c r="AV28" s="181">
        <v>90</v>
      </c>
      <c r="AW28" s="181">
        <v>153</v>
      </c>
      <c r="AX28" s="181">
        <v>156</v>
      </c>
      <c r="AY28" s="177">
        <v>98</v>
      </c>
      <c r="AZ28" s="177">
        <v>13</v>
      </c>
      <c r="BA28" s="177">
        <v>265</v>
      </c>
      <c r="BB28" s="177">
        <v>202</v>
      </c>
      <c r="BC28" s="177">
        <v>401</v>
      </c>
      <c r="BD28" s="177">
        <v>279</v>
      </c>
      <c r="BE28" s="177">
        <v>153</v>
      </c>
      <c r="BF28" s="179">
        <v>302</v>
      </c>
      <c r="BG28" s="177">
        <v>3</v>
      </c>
      <c r="BH28" s="177">
        <v>6</v>
      </c>
      <c r="BI28" s="177">
        <v>153</v>
      </c>
      <c r="BJ28" s="177">
        <v>37</v>
      </c>
      <c r="BK28" s="177">
        <v>8</v>
      </c>
      <c r="BL28" s="177">
        <v>11</v>
      </c>
      <c r="BM28" s="177">
        <v>191</v>
      </c>
      <c r="BN28" s="177">
        <v>214</v>
      </c>
      <c r="BO28" s="177">
        <v>5</v>
      </c>
      <c r="BP28" s="177">
        <v>69</v>
      </c>
      <c r="BQ28" s="177">
        <v>86</v>
      </c>
      <c r="BR28" s="179">
        <v>75</v>
      </c>
      <c r="BS28" s="177">
        <v>9</v>
      </c>
      <c r="BT28" s="177">
        <v>165</v>
      </c>
      <c r="BU28" s="177">
        <v>51</v>
      </c>
      <c r="BV28" s="177">
        <v>173</v>
      </c>
      <c r="BW28" s="177">
        <v>143</v>
      </c>
      <c r="BX28" s="177">
        <v>195</v>
      </c>
      <c r="BY28" s="177">
        <v>90</v>
      </c>
      <c r="BZ28" s="177">
        <v>172</v>
      </c>
      <c r="CA28" s="177">
        <v>87</v>
      </c>
      <c r="CB28" s="179">
        <v>171</v>
      </c>
      <c r="CC28" s="177">
        <v>153</v>
      </c>
      <c r="CD28" s="177">
        <v>63</v>
      </c>
      <c r="CE28" s="177">
        <v>122</v>
      </c>
      <c r="CF28" s="177">
        <v>35</v>
      </c>
      <c r="CG28" s="177">
        <v>409</v>
      </c>
      <c r="CH28" s="177">
        <v>399</v>
      </c>
      <c r="CI28" s="177">
        <v>107</v>
      </c>
      <c r="CJ28" s="177">
        <v>363</v>
      </c>
      <c r="CK28" s="178">
        <v>256</v>
      </c>
      <c r="CL28" s="180">
        <v>6256</v>
      </c>
    </row>
    <row r="29" spans="1:90">
      <c r="A29" s="93">
        <f>ROWS($A$3:A27)</f>
        <v>25</v>
      </c>
      <c r="B29" s="59" t="s">
        <v>6</v>
      </c>
      <c r="C29" s="241"/>
      <c r="D29" s="332" t="s">
        <v>14</v>
      </c>
      <c r="E29" s="333"/>
      <c r="F29" s="156">
        <v>498</v>
      </c>
      <c r="G29" s="177">
        <v>461</v>
      </c>
      <c r="H29" s="177">
        <v>421</v>
      </c>
      <c r="I29" s="178">
        <v>484</v>
      </c>
      <c r="J29" s="181"/>
      <c r="K29" s="156">
        <f t="shared" si="47"/>
        <v>71</v>
      </c>
      <c r="L29" s="177">
        <f t="shared" si="48"/>
        <v>18</v>
      </c>
      <c r="M29" s="177">
        <f t="shared" si="49"/>
        <v>114</v>
      </c>
      <c r="N29" s="177">
        <f t="shared" si="50"/>
        <v>21</v>
      </c>
      <c r="O29" s="177">
        <f t="shared" si="51"/>
        <v>40</v>
      </c>
      <c r="P29" s="177">
        <f>'2001'!AZ29+'2001'!BA29</f>
        <v>66</v>
      </c>
      <c r="Q29" s="177">
        <f>'2001'!AU29</f>
        <v>28</v>
      </c>
      <c r="R29" s="177">
        <f t="shared" si="38"/>
        <v>21</v>
      </c>
      <c r="S29" s="177">
        <f t="shared" si="52"/>
        <v>25</v>
      </c>
      <c r="T29" s="177">
        <f t="shared" si="53"/>
        <v>50</v>
      </c>
      <c r="U29" s="179">
        <f t="shared" si="53"/>
        <v>44</v>
      </c>
      <c r="V29" s="177">
        <f t="shared" si="40"/>
        <v>47</v>
      </c>
      <c r="W29" s="177">
        <f t="shared" si="54"/>
        <v>38</v>
      </c>
      <c r="X29" s="177">
        <f t="shared" si="41"/>
        <v>121</v>
      </c>
      <c r="Y29" s="177">
        <f t="shared" si="42"/>
        <v>56</v>
      </c>
      <c r="Z29" s="177">
        <f t="shared" si="55"/>
        <v>122</v>
      </c>
      <c r="AA29" s="177">
        <f t="shared" si="43"/>
        <v>46</v>
      </c>
      <c r="AB29" s="179">
        <f t="shared" si="56"/>
        <v>31</v>
      </c>
      <c r="AC29" s="177">
        <f t="shared" si="57"/>
        <v>46</v>
      </c>
      <c r="AD29" s="177">
        <f t="shared" si="58"/>
        <v>19</v>
      </c>
      <c r="AE29" s="177">
        <f t="shared" si="44"/>
        <v>33</v>
      </c>
      <c r="AF29" s="177">
        <f t="shared" si="59"/>
        <v>9</v>
      </c>
      <c r="AG29" s="177">
        <f t="shared" si="60"/>
        <v>73</v>
      </c>
      <c r="AH29" s="177">
        <f t="shared" si="61"/>
        <v>72</v>
      </c>
      <c r="AI29" s="177">
        <f t="shared" si="62"/>
        <v>53</v>
      </c>
      <c r="AJ29" s="177">
        <f t="shared" si="63"/>
        <v>79</v>
      </c>
      <c r="AK29" s="179">
        <f t="shared" si="64"/>
        <v>37</v>
      </c>
      <c r="AL29" s="177">
        <f t="shared" si="65"/>
        <v>87</v>
      </c>
      <c r="AM29" s="177">
        <f t="shared" si="66"/>
        <v>68</v>
      </c>
      <c r="AN29" s="177">
        <f t="shared" si="67"/>
        <v>39</v>
      </c>
      <c r="AO29" s="177">
        <f t="shared" si="68"/>
        <v>72</v>
      </c>
      <c r="AP29" s="177">
        <f t="shared" si="68"/>
        <v>51</v>
      </c>
      <c r="AQ29" s="177">
        <f t="shared" si="69"/>
        <v>94</v>
      </c>
      <c r="AR29" s="177">
        <f t="shared" si="70"/>
        <v>13</v>
      </c>
      <c r="AS29" s="178">
        <f t="shared" si="46"/>
        <v>60</v>
      </c>
      <c r="AT29" s="181">
        <v>1</v>
      </c>
      <c r="AU29" s="181">
        <v>28</v>
      </c>
      <c r="AV29" s="181">
        <v>25</v>
      </c>
      <c r="AW29" s="181">
        <v>21</v>
      </c>
      <c r="AX29" s="181">
        <v>20</v>
      </c>
      <c r="AY29" s="177">
        <v>18</v>
      </c>
      <c r="AZ29" s="177">
        <v>4</v>
      </c>
      <c r="BA29" s="177">
        <v>62</v>
      </c>
      <c r="BB29" s="177">
        <v>50</v>
      </c>
      <c r="BC29" s="177">
        <v>44</v>
      </c>
      <c r="BD29" s="177">
        <v>114</v>
      </c>
      <c r="BE29" s="177">
        <v>40</v>
      </c>
      <c r="BF29" s="179">
        <v>71</v>
      </c>
      <c r="BG29" s="177">
        <v>4</v>
      </c>
      <c r="BH29" s="177">
        <v>9</v>
      </c>
      <c r="BI29" s="177">
        <v>112</v>
      </c>
      <c r="BJ29" s="177">
        <v>43</v>
      </c>
      <c r="BK29" s="177">
        <v>1</v>
      </c>
      <c r="BL29" s="177">
        <v>5</v>
      </c>
      <c r="BM29" s="177">
        <v>122</v>
      </c>
      <c r="BN29" s="177">
        <v>50</v>
      </c>
      <c r="BO29" s="177">
        <v>4</v>
      </c>
      <c r="BP29" s="177">
        <v>31</v>
      </c>
      <c r="BQ29" s="177">
        <v>42</v>
      </c>
      <c r="BR29" s="179">
        <v>38</v>
      </c>
      <c r="BS29" s="177">
        <v>4</v>
      </c>
      <c r="BT29" s="177">
        <v>29</v>
      </c>
      <c r="BU29" s="177">
        <v>19</v>
      </c>
      <c r="BV29" s="177">
        <v>73</v>
      </c>
      <c r="BW29" s="177">
        <v>53</v>
      </c>
      <c r="BX29" s="177">
        <v>46</v>
      </c>
      <c r="BY29" s="177">
        <v>79</v>
      </c>
      <c r="BZ29" s="177">
        <v>72</v>
      </c>
      <c r="CA29" s="177">
        <v>9</v>
      </c>
      <c r="CB29" s="179">
        <v>37</v>
      </c>
      <c r="CC29" s="177">
        <v>72</v>
      </c>
      <c r="CD29" s="177">
        <v>51</v>
      </c>
      <c r="CE29" s="177">
        <v>87</v>
      </c>
      <c r="CF29" s="177">
        <v>1</v>
      </c>
      <c r="CG29" s="177">
        <v>59</v>
      </c>
      <c r="CH29" s="177">
        <v>68</v>
      </c>
      <c r="CI29" s="177">
        <v>13</v>
      </c>
      <c r="CJ29" s="177">
        <v>39</v>
      </c>
      <c r="CK29" s="178">
        <v>94</v>
      </c>
      <c r="CL29" s="180">
        <v>1864</v>
      </c>
    </row>
    <row r="30" spans="1:90">
      <c r="A30" s="93">
        <f>ROWS($A$3:A28)</f>
        <v>26</v>
      </c>
      <c r="B30" s="60" t="s">
        <v>276</v>
      </c>
      <c r="C30" s="323"/>
      <c r="D30" s="332" t="s">
        <v>1</v>
      </c>
      <c r="E30" s="333"/>
      <c r="F30" s="207">
        <f>F35/F23</f>
        <v>20.753447754096236</v>
      </c>
      <c r="G30" s="208">
        <f>G35/G23</f>
        <v>24.043539161900316</v>
      </c>
      <c r="H30" s="208">
        <f>H35/H23</f>
        <v>14.989152482582238</v>
      </c>
      <c r="I30" s="209">
        <f>I35/I23</f>
        <v>25.241769606434932</v>
      </c>
      <c r="J30" s="213"/>
      <c r="K30" s="218">
        <f t="shared" si="47"/>
        <v>23.78902953586498</v>
      </c>
      <c r="L30" s="219">
        <f t="shared" si="48"/>
        <v>12.133303611234954</v>
      </c>
      <c r="M30" s="219">
        <f t="shared" si="49"/>
        <v>28.204073319755601</v>
      </c>
      <c r="N30" s="219">
        <f t="shared" si="50"/>
        <v>25.495606326889281</v>
      </c>
      <c r="O30" s="219">
        <f t="shared" si="51"/>
        <v>33.813836477987422</v>
      </c>
      <c r="P30" s="208">
        <f>P35/P23</f>
        <v>15.58737610850287</v>
      </c>
      <c r="Q30" s="219">
        <f>'2001'!AU30</f>
        <v>21.988394584139265</v>
      </c>
      <c r="R30" s="208">
        <f>R35/R23</f>
        <v>13.586102719033233</v>
      </c>
      <c r="S30" s="219">
        <f t="shared" si="52"/>
        <v>17.862575626620572</v>
      </c>
      <c r="T30" s="219">
        <f t="shared" si="53"/>
        <v>21.641287685232498</v>
      </c>
      <c r="U30" s="220">
        <f t="shared" si="53"/>
        <v>25.957699933906145</v>
      </c>
      <c r="V30" s="208">
        <f>V35/V23</f>
        <v>12.253542132736763</v>
      </c>
      <c r="W30" s="219">
        <f t="shared" si="54"/>
        <v>19.803519061583579</v>
      </c>
      <c r="X30" s="208">
        <f>X35/X23</f>
        <v>28.055478502080444</v>
      </c>
      <c r="Y30" s="208">
        <f>Y35/Y23</f>
        <v>25.268518518518519</v>
      </c>
      <c r="Z30" s="219">
        <f t="shared" si="55"/>
        <v>33.336389280677011</v>
      </c>
      <c r="AA30" s="208">
        <f>AA35/AA23</f>
        <v>28.495118549511854</v>
      </c>
      <c r="AB30" s="220">
        <f t="shared" si="56"/>
        <v>19.452115812917594</v>
      </c>
      <c r="AC30" s="219">
        <f t="shared" si="57"/>
        <v>25.337289194253593</v>
      </c>
      <c r="AD30" s="219">
        <f t="shared" si="58"/>
        <v>9.052213393870602</v>
      </c>
      <c r="AE30" s="208">
        <f>AE35/AE23</f>
        <v>10.919310614962789</v>
      </c>
      <c r="AF30" s="219">
        <f t="shared" si="59"/>
        <v>14.467863346844238</v>
      </c>
      <c r="AG30" s="219">
        <f t="shared" si="60"/>
        <v>10.232663316582915</v>
      </c>
      <c r="AH30" s="219">
        <f t="shared" si="61"/>
        <v>25.832487309644669</v>
      </c>
      <c r="AI30" s="219">
        <f t="shared" si="62"/>
        <v>22.825806451612902</v>
      </c>
      <c r="AJ30" s="219">
        <f t="shared" si="63"/>
        <v>33.605577689243027</v>
      </c>
      <c r="AK30" s="220">
        <f t="shared" si="64"/>
        <v>19.407794676806084</v>
      </c>
      <c r="AL30" s="219">
        <f t="shared" si="65"/>
        <v>26.854700854700855</v>
      </c>
      <c r="AM30" s="219">
        <f t="shared" si="66"/>
        <v>28.74037403740374</v>
      </c>
      <c r="AN30" s="219">
        <f t="shared" si="67"/>
        <v>24.65904761904762</v>
      </c>
      <c r="AO30" s="219">
        <f t="shared" si="68"/>
        <v>25.337806301050176</v>
      </c>
      <c r="AP30" s="219">
        <f t="shared" si="68"/>
        <v>27.039189189189191</v>
      </c>
      <c r="AQ30" s="219">
        <f t="shared" si="69"/>
        <v>28.083124687030544</v>
      </c>
      <c r="AR30" s="219">
        <f t="shared" si="70"/>
        <v>15.16010385114669</v>
      </c>
      <c r="AS30" s="209">
        <f t="shared" ref="AS30:CL30" si="71">AS35/AS23</f>
        <v>27.494245091401488</v>
      </c>
      <c r="AT30" s="208">
        <f t="shared" si="71"/>
        <v>7.8892405063291138</v>
      </c>
      <c r="AU30" s="208">
        <f t="shared" si="71"/>
        <v>21.988394584139265</v>
      </c>
      <c r="AV30" s="208">
        <f t="shared" si="71"/>
        <v>17.862575626620572</v>
      </c>
      <c r="AW30" s="208">
        <f t="shared" si="71"/>
        <v>25.495606326889281</v>
      </c>
      <c r="AX30" s="208">
        <f t="shared" si="71"/>
        <v>14.358061749571183</v>
      </c>
      <c r="AY30" s="208">
        <f t="shared" si="71"/>
        <v>12.133303611234954</v>
      </c>
      <c r="AZ30" s="208">
        <f t="shared" si="71"/>
        <v>17.647286821705425</v>
      </c>
      <c r="BA30" s="208">
        <f t="shared" si="71"/>
        <v>15.438758389261745</v>
      </c>
      <c r="BB30" s="208">
        <f t="shared" si="71"/>
        <v>21.641287685232498</v>
      </c>
      <c r="BC30" s="208">
        <f t="shared" si="71"/>
        <v>25.957699933906145</v>
      </c>
      <c r="BD30" s="208">
        <f t="shared" si="71"/>
        <v>28.204073319755601</v>
      </c>
      <c r="BE30" s="208">
        <f t="shared" si="71"/>
        <v>33.813836477987422</v>
      </c>
      <c r="BF30" s="216">
        <f t="shared" si="71"/>
        <v>23.78902953586498</v>
      </c>
      <c r="BG30" s="208">
        <f t="shared" si="71"/>
        <v>6.228346456692913</v>
      </c>
      <c r="BH30" s="208">
        <f t="shared" si="71"/>
        <v>23.321428571428573</v>
      </c>
      <c r="BI30" s="208">
        <f t="shared" si="71"/>
        <v>28.454135338345864</v>
      </c>
      <c r="BJ30" s="208">
        <f t="shared" si="71"/>
        <v>13.661453541858325</v>
      </c>
      <c r="BK30" s="208">
        <f t="shared" si="71"/>
        <v>15.491803278688524</v>
      </c>
      <c r="BL30" s="208">
        <f t="shared" si="71"/>
        <v>29.571428571428573</v>
      </c>
      <c r="BM30" s="208">
        <f t="shared" si="71"/>
        <v>33.336389280677011</v>
      </c>
      <c r="BN30" s="208">
        <f t="shared" si="71"/>
        <v>25.76215856095936</v>
      </c>
      <c r="BO30" s="208">
        <f t="shared" si="71"/>
        <v>26.382978723404257</v>
      </c>
      <c r="BP30" s="208">
        <f t="shared" si="71"/>
        <v>19.452115812917594</v>
      </c>
      <c r="BQ30" s="208">
        <f t="shared" si="71"/>
        <v>28.643283582089552</v>
      </c>
      <c r="BR30" s="216">
        <f t="shared" si="71"/>
        <v>19.803519061583579</v>
      </c>
      <c r="BS30" s="208">
        <f t="shared" si="71"/>
        <v>10.292613636363637</v>
      </c>
      <c r="BT30" s="208">
        <f t="shared" si="71"/>
        <v>10.965713083718974</v>
      </c>
      <c r="BU30" s="208">
        <f t="shared" si="71"/>
        <v>9.052213393870602</v>
      </c>
      <c r="BV30" s="208">
        <f t="shared" si="71"/>
        <v>10.232663316582915</v>
      </c>
      <c r="BW30" s="208">
        <f t="shared" si="71"/>
        <v>22.825806451612902</v>
      </c>
      <c r="BX30" s="208">
        <f t="shared" si="71"/>
        <v>25.337289194253593</v>
      </c>
      <c r="BY30" s="208">
        <f t="shared" si="71"/>
        <v>33.605577689243027</v>
      </c>
      <c r="BZ30" s="208">
        <f t="shared" si="71"/>
        <v>25.832487309644669</v>
      </c>
      <c r="CA30" s="208">
        <f t="shared" si="71"/>
        <v>14.467863346844238</v>
      </c>
      <c r="CB30" s="216">
        <f t="shared" si="71"/>
        <v>19.407794676806084</v>
      </c>
      <c r="CC30" s="208">
        <f t="shared" si="71"/>
        <v>25.337806301050176</v>
      </c>
      <c r="CD30" s="208">
        <f t="shared" si="71"/>
        <v>27.039189189189191</v>
      </c>
      <c r="CE30" s="208">
        <f t="shared" si="71"/>
        <v>26.854700854700855</v>
      </c>
      <c r="CF30" s="208">
        <f t="shared" si="71"/>
        <v>27.016759776536311</v>
      </c>
      <c r="CG30" s="208">
        <f t="shared" si="71"/>
        <v>27.525045045045044</v>
      </c>
      <c r="CH30" s="208">
        <f t="shared" si="71"/>
        <v>28.74037403740374</v>
      </c>
      <c r="CI30" s="208">
        <f t="shared" si="71"/>
        <v>15.16010385114669</v>
      </c>
      <c r="CJ30" s="208">
        <f t="shared" si="71"/>
        <v>24.65904761904762</v>
      </c>
      <c r="CK30" s="209">
        <f t="shared" si="71"/>
        <v>28.083124687030544</v>
      </c>
      <c r="CL30" s="217">
        <f t="shared" si="71"/>
        <v>20.413284852537579</v>
      </c>
    </row>
    <row r="31" spans="1:90">
      <c r="A31" s="93">
        <f>ROWS($A$3:A29)</f>
        <v>27</v>
      </c>
      <c r="B31" s="60" t="str">
        <f>"Entwicklung Betriebe ab 5 ha LF von 1991 / "&amp;C23</f>
        <v>Entwicklung Betriebe ab 5 ha LF von 1991 / 2001</v>
      </c>
      <c r="C31" s="323"/>
      <c r="D31" s="332" t="s">
        <v>4</v>
      </c>
      <c r="E31" s="333"/>
      <c r="F31" s="182">
        <f>(F23-F24)/F127%-100</f>
        <v>-29.221902017291058</v>
      </c>
      <c r="G31" s="183">
        <f>(G23-G24)/G127%-100</f>
        <v>-25.436153056736543</v>
      </c>
      <c r="H31" s="183">
        <f>(H23-H24)/H127%-100</f>
        <v>-21.886435331230288</v>
      </c>
      <c r="I31" s="184">
        <f>(I23-I24)/I127%-100</f>
        <v>-28.173439463762051</v>
      </c>
      <c r="J31" s="181"/>
      <c r="K31" s="156">
        <f t="shared" ref="K31:AP31" si="72">(K23-K24)/K127%-100</f>
        <v>-31.053268765133168</v>
      </c>
      <c r="L31" s="177">
        <f t="shared" si="72"/>
        <v>-29.503738953093134</v>
      </c>
      <c r="M31" s="177">
        <f t="shared" si="72"/>
        <v>-32.617400800873682</v>
      </c>
      <c r="N31" s="177">
        <f t="shared" si="72"/>
        <v>-28.174936921783015</v>
      </c>
      <c r="O31" s="177">
        <f t="shared" si="72"/>
        <v>-27.124183006535944</v>
      </c>
      <c r="P31" s="183">
        <f t="shared" si="72"/>
        <v>-29.114435907804292</v>
      </c>
      <c r="Q31" s="186">
        <f t="shared" si="72"/>
        <v>-17.861205915813414</v>
      </c>
      <c r="R31" s="183">
        <f t="shared" si="72"/>
        <v>-26.270053475935839</v>
      </c>
      <c r="S31" s="186">
        <f t="shared" si="72"/>
        <v>-21.172248803827742</v>
      </c>
      <c r="T31" s="186">
        <f t="shared" si="72"/>
        <v>-33.504624871531348</v>
      </c>
      <c r="U31" s="187">
        <f t="shared" si="72"/>
        <v>-29.345689413086205</v>
      </c>
      <c r="V31" s="183">
        <f t="shared" si="72"/>
        <v>-3.1553398058252498</v>
      </c>
      <c r="W31" s="186">
        <f t="shared" si="72"/>
        <v>-27.522935779816521</v>
      </c>
      <c r="X31" s="183">
        <f t="shared" si="72"/>
        <v>-20.318725099601593</v>
      </c>
      <c r="Y31" s="183">
        <f t="shared" si="72"/>
        <v>-21.24824684431978</v>
      </c>
      <c r="Z31" s="186">
        <f t="shared" si="72"/>
        <v>-36.046511627906973</v>
      </c>
      <c r="AA31" s="183">
        <f t="shared" si="72"/>
        <v>-22.10884353741497</v>
      </c>
      <c r="AB31" s="187">
        <f t="shared" si="72"/>
        <v>-28.160200250312897</v>
      </c>
      <c r="AC31" s="186">
        <f t="shared" si="72"/>
        <v>-25.380116959064338</v>
      </c>
      <c r="AD31" s="186">
        <f t="shared" si="72"/>
        <v>-17.692907248636004</v>
      </c>
      <c r="AE31" s="183">
        <f t="shared" si="72"/>
        <v>-17.455509276789101</v>
      </c>
      <c r="AF31" s="186">
        <f t="shared" si="72"/>
        <v>-16.106333072713056</v>
      </c>
      <c r="AG31" s="186">
        <f t="shared" si="72"/>
        <v>-14.509558132246951</v>
      </c>
      <c r="AH31" s="186">
        <f t="shared" si="72"/>
        <v>-32.42647058823529</v>
      </c>
      <c r="AI31" s="186">
        <f t="shared" si="72"/>
        <v>-30.352112676056336</v>
      </c>
      <c r="AJ31" s="186">
        <f t="shared" si="72"/>
        <v>-33.628318584070797</v>
      </c>
      <c r="AK31" s="187">
        <f t="shared" si="72"/>
        <v>-24.345295829291956</v>
      </c>
      <c r="AL31" s="186">
        <f t="shared" si="72"/>
        <v>-23.280861640430828</v>
      </c>
      <c r="AM31" s="186">
        <f t="shared" si="72"/>
        <v>-33.678160919540218</v>
      </c>
      <c r="AN31" s="186">
        <f t="shared" si="72"/>
        <v>-26.658624849215926</v>
      </c>
      <c r="AO31" s="186">
        <f t="shared" si="72"/>
        <v>-24.519510774606886</v>
      </c>
      <c r="AP31" s="186">
        <f t="shared" si="72"/>
        <v>-24.924471299093653</v>
      </c>
      <c r="AQ31" s="186">
        <f t="shared" ref="AQ31:BV31" si="73">(AQ23-AQ24)/AQ127%-100</f>
        <v>-34.371209057824501</v>
      </c>
      <c r="AR31" s="186">
        <f t="shared" si="73"/>
        <v>-21.942257217847768</v>
      </c>
      <c r="AS31" s="184">
        <f t="shared" si="73"/>
        <v>-27.601938979184496</v>
      </c>
      <c r="AT31" s="186">
        <f t="shared" si="73"/>
        <v>-14.782608695652172</v>
      </c>
      <c r="AU31" s="181">
        <f t="shared" si="73"/>
        <v>-17.861205915813414</v>
      </c>
      <c r="AV31" s="181">
        <f t="shared" si="73"/>
        <v>-21.172248803827742</v>
      </c>
      <c r="AW31" s="181">
        <f t="shared" si="73"/>
        <v>-28.174936921783015</v>
      </c>
      <c r="AX31" s="181">
        <f t="shared" si="73"/>
        <v>-27.226647356987698</v>
      </c>
      <c r="AY31" s="177">
        <f t="shared" si="73"/>
        <v>-29.503738953093134</v>
      </c>
      <c r="AZ31" s="177">
        <f t="shared" si="73"/>
        <v>-23.584905660377359</v>
      </c>
      <c r="BA31" s="177">
        <f t="shared" si="73"/>
        <v>-29.632905793896498</v>
      </c>
      <c r="BB31" s="177">
        <f t="shared" si="73"/>
        <v>-33.504624871531348</v>
      </c>
      <c r="BC31" s="177">
        <f t="shared" si="73"/>
        <v>-29.345689413086205</v>
      </c>
      <c r="BD31" s="177">
        <f t="shared" si="73"/>
        <v>-32.617400800873682</v>
      </c>
      <c r="BE31" s="177">
        <f t="shared" si="73"/>
        <v>-27.124183006535944</v>
      </c>
      <c r="BF31" s="179">
        <f t="shared" si="73"/>
        <v>-31.053268765133168</v>
      </c>
      <c r="BG31" s="177">
        <f t="shared" si="73"/>
        <v>25</v>
      </c>
      <c r="BH31" s="177">
        <f t="shared" si="73"/>
        <v>-22.222222222222229</v>
      </c>
      <c r="BI31" s="177">
        <f t="shared" si="73"/>
        <v>-20.151679306608884</v>
      </c>
      <c r="BJ31" s="177">
        <f t="shared" si="73"/>
        <v>-5.8510638297872219</v>
      </c>
      <c r="BK31" s="177">
        <f t="shared" si="73"/>
        <v>1.4925373134328339</v>
      </c>
      <c r="BL31" s="177">
        <f t="shared" si="73"/>
        <v>-26</v>
      </c>
      <c r="BM31" s="177">
        <f t="shared" si="73"/>
        <v>-36.046511627906973</v>
      </c>
      <c r="BN31" s="177">
        <f t="shared" si="73"/>
        <v>-22.081016679904678</v>
      </c>
      <c r="BO31" s="177">
        <f t="shared" si="73"/>
        <v>-22.222222222222229</v>
      </c>
      <c r="BP31" s="177">
        <f t="shared" si="73"/>
        <v>-28.160200250312897</v>
      </c>
      <c r="BQ31" s="177">
        <f t="shared" si="73"/>
        <v>-22.103386809269168</v>
      </c>
      <c r="BR31" s="179">
        <f t="shared" si="73"/>
        <v>-27.522935779816521</v>
      </c>
      <c r="BS31" s="177">
        <f t="shared" si="73"/>
        <v>-16.901408450704224</v>
      </c>
      <c r="BT31" s="177">
        <f t="shared" si="73"/>
        <v>-17.486994797919166</v>
      </c>
      <c r="BU31" s="177">
        <f t="shared" si="73"/>
        <v>-17.692907248636004</v>
      </c>
      <c r="BV31" s="177">
        <f t="shared" si="73"/>
        <v>-14.509558132246951</v>
      </c>
      <c r="BW31" s="177">
        <f t="shared" ref="BW31:CL31" si="74">(BW23-BW24)/BW127%-100</f>
        <v>-30.352112676056336</v>
      </c>
      <c r="BX31" s="177">
        <f t="shared" si="74"/>
        <v>-25.380116959064338</v>
      </c>
      <c r="BY31" s="177">
        <f t="shared" si="74"/>
        <v>-33.628318584070797</v>
      </c>
      <c r="BZ31" s="177">
        <f t="shared" si="74"/>
        <v>-32.42647058823529</v>
      </c>
      <c r="CA31" s="177">
        <f t="shared" si="74"/>
        <v>-16.106333072713056</v>
      </c>
      <c r="CB31" s="179">
        <f t="shared" si="74"/>
        <v>-24.345295829291956</v>
      </c>
      <c r="CC31" s="177">
        <f t="shared" si="74"/>
        <v>-24.519510774606886</v>
      </c>
      <c r="CD31" s="177">
        <f t="shared" si="74"/>
        <v>-24.924471299093653</v>
      </c>
      <c r="CE31" s="177">
        <f t="shared" si="74"/>
        <v>-23.280861640430828</v>
      </c>
      <c r="CF31" s="177">
        <f t="shared" si="74"/>
        <v>-28.865979381443296</v>
      </c>
      <c r="CG31" s="177">
        <f t="shared" si="74"/>
        <v>-27.52792031391489</v>
      </c>
      <c r="CH31" s="177">
        <f t="shared" si="74"/>
        <v>-33.678160919540218</v>
      </c>
      <c r="CI31" s="177">
        <f t="shared" si="74"/>
        <v>-21.942257217847768</v>
      </c>
      <c r="CJ31" s="177">
        <f t="shared" si="74"/>
        <v>-26.658624849215926</v>
      </c>
      <c r="CK31" s="178">
        <f t="shared" si="74"/>
        <v>-34.371209057824501</v>
      </c>
      <c r="CL31" s="180">
        <f t="shared" si="74"/>
        <v>-26.63172863374183</v>
      </c>
    </row>
    <row r="32" spans="1:90">
      <c r="A32" s="93">
        <f>ROWS($A$3:A30)</f>
        <v>28</v>
      </c>
      <c r="B32" s="60" t="s">
        <v>181</v>
      </c>
      <c r="C32" s="323">
        <v>1999</v>
      </c>
      <c r="D32" s="332" t="s">
        <v>4</v>
      </c>
      <c r="E32" s="333"/>
      <c r="F32" s="156">
        <v>38</v>
      </c>
      <c r="G32" s="177">
        <v>29</v>
      </c>
      <c r="H32" s="177">
        <v>27</v>
      </c>
      <c r="I32" s="178">
        <v>42</v>
      </c>
      <c r="J32" s="181"/>
      <c r="K32" s="156">
        <f t="shared" si="47"/>
        <v>34</v>
      </c>
      <c r="L32" s="177">
        <f t="shared" si="48"/>
        <v>34</v>
      </c>
      <c r="M32" s="177">
        <f t="shared" si="49"/>
        <v>35</v>
      </c>
      <c r="N32" s="177">
        <f t="shared" si="50"/>
        <v>41</v>
      </c>
      <c r="O32" s="177">
        <f t="shared" si="51"/>
        <v>44</v>
      </c>
      <c r="P32" s="183">
        <f>(AZ23*AZ32+BA23*BA32)/P23</f>
        <v>39.413145539906104</v>
      </c>
      <c r="Q32" s="186">
        <f>'2001'!AU32</f>
        <v>26</v>
      </c>
      <c r="R32" s="183">
        <f>(AT23*AT32+AX23*AX32)/R23</f>
        <v>39.864048338368583</v>
      </c>
      <c r="S32" s="186">
        <f t="shared" si="52"/>
        <v>31</v>
      </c>
      <c r="T32" s="186">
        <f t="shared" si="53"/>
        <v>39</v>
      </c>
      <c r="U32" s="187">
        <f t="shared" si="53"/>
        <v>47</v>
      </c>
      <c r="V32" s="183">
        <f>(BG23*BG32+BJ23*BJ32)/V23</f>
        <v>15.621178225205071</v>
      </c>
      <c r="W32" s="186">
        <f t="shared" si="54"/>
        <v>20</v>
      </c>
      <c r="X32" s="183">
        <f>(BH23*BH32+BI23*BI32)/X23</f>
        <v>29.009708737864077</v>
      </c>
      <c r="Y32" s="183">
        <f>(BK23*BK32+BL23*BL32+BN23*BN32)/Y23</f>
        <v>45.637152777777779</v>
      </c>
      <c r="Z32" s="186">
        <f t="shared" si="55"/>
        <v>32</v>
      </c>
      <c r="AA32" s="183">
        <f>(BO23*BO32+BQ23*BQ32)/AA23</f>
        <v>33.179916317991633</v>
      </c>
      <c r="AB32" s="187">
        <f t="shared" si="56"/>
        <v>21</v>
      </c>
      <c r="AC32" s="186">
        <f t="shared" si="57"/>
        <v>32</v>
      </c>
      <c r="AD32" s="186">
        <f t="shared" si="58"/>
        <v>24</v>
      </c>
      <c r="AE32" s="183">
        <f>(BS23*BS32+BT23*BT32)/AE23</f>
        <v>28.206815511163338</v>
      </c>
      <c r="AF32" s="186">
        <f t="shared" si="59"/>
        <v>24</v>
      </c>
      <c r="AG32" s="186">
        <f t="shared" si="60"/>
        <v>28</v>
      </c>
      <c r="AH32" s="186">
        <f t="shared" si="61"/>
        <v>42</v>
      </c>
      <c r="AI32" s="186">
        <f t="shared" si="62"/>
        <v>22</v>
      </c>
      <c r="AJ32" s="186">
        <f t="shared" si="63"/>
        <v>23</v>
      </c>
      <c r="AK32" s="187">
        <f t="shared" si="64"/>
        <v>24</v>
      </c>
      <c r="AL32" s="186">
        <f t="shared" si="65"/>
        <v>15</v>
      </c>
      <c r="AM32" s="186">
        <f t="shared" si="66"/>
        <v>48</v>
      </c>
      <c r="AN32" s="186">
        <f t="shared" si="67"/>
        <v>63</v>
      </c>
      <c r="AO32" s="186">
        <f t="shared" si="68"/>
        <v>25</v>
      </c>
      <c r="AP32" s="186">
        <f t="shared" si="68"/>
        <v>20</v>
      </c>
      <c r="AQ32" s="186">
        <f t="shared" si="69"/>
        <v>30</v>
      </c>
      <c r="AR32" s="186">
        <f t="shared" si="70"/>
        <v>49</v>
      </c>
      <c r="AS32" s="184">
        <f>(CF23*CF32+CG23*CG32)/AS23</f>
        <v>41.908937034529451</v>
      </c>
      <c r="AT32" s="186">
        <v>61</v>
      </c>
      <c r="AU32" s="181">
        <v>26</v>
      </c>
      <c r="AV32" s="181">
        <v>31</v>
      </c>
      <c r="AW32" s="181">
        <v>41</v>
      </c>
      <c r="AX32" s="181">
        <v>37</v>
      </c>
      <c r="AY32" s="177">
        <v>34</v>
      </c>
      <c r="AZ32" s="177">
        <v>59</v>
      </c>
      <c r="BA32" s="177">
        <v>38</v>
      </c>
      <c r="BB32" s="177">
        <v>39</v>
      </c>
      <c r="BC32" s="177">
        <v>47</v>
      </c>
      <c r="BD32" s="177">
        <v>35</v>
      </c>
      <c r="BE32" s="177">
        <v>44</v>
      </c>
      <c r="BF32" s="179">
        <v>34</v>
      </c>
      <c r="BG32" s="177">
        <v>14</v>
      </c>
      <c r="BH32" s="177">
        <v>41</v>
      </c>
      <c r="BI32" s="177">
        <v>28</v>
      </c>
      <c r="BJ32" s="177">
        <v>16</v>
      </c>
      <c r="BK32" s="177">
        <v>72</v>
      </c>
      <c r="BL32" s="177">
        <v>67</v>
      </c>
      <c r="BM32" s="177">
        <v>32</v>
      </c>
      <c r="BN32" s="177">
        <v>42</v>
      </c>
      <c r="BO32" s="177">
        <v>50</v>
      </c>
      <c r="BP32" s="177">
        <v>21</v>
      </c>
      <c r="BQ32" s="177">
        <v>32</v>
      </c>
      <c r="BR32" s="179">
        <v>20</v>
      </c>
      <c r="BS32" s="177">
        <v>31</v>
      </c>
      <c r="BT32" s="177">
        <v>28</v>
      </c>
      <c r="BU32" s="177">
        <v>24</v>
      </c>
      <c r="BV32" s="177">
        <v>28</v>
      </c>
      <c r="BW32" s="177">
        <v>22</v>
      </c>
      <c r="BX32" s="177">
        <v>32</v>
      </c>
      <c r="BY32" s="177">
        <v>23</v>
      </c>
      <c r="BZ32" s="177">
        <v>42</v>
      </c>
      <c r="CA32" s="177">
        <v>24</v>
      </c>
      <c r="CB32" s="179">
        <v>24</v>
      </c>
      <c r="CC32" s="177">
        <v>25</v>
      </c>
      <c r="CD32" s="177">
        <v>20</v>
      </c>
      <c r="CE32" s="177">
        <v>15</v>
      </c>
      <c r="CF32" s="177">
        <v>56</v>
      </c>
      <c r="CG32" s="177">
        <v>41</v>
      </c>
      <c r="CH32" s="177">
        <v>48</v>
      </c>
      <c r="CI32" s="177">
        <v>49</v>
      </c>
      <c r="CJ32" s="177">
        <v>63</v>
      </c>
      <c r="CK32" s="178">
        <v>30</v>
      </c>
      <c r="CL32" s="180">
        <v>35</v>
      </c>
    </row>
    <row r="33" spans="1:90">
      <c r="A33" s="93">
        <f>ROWS($A$3:A31)</f>
        <v>29</v>
      </c>
      <c r="B33" s="60" t="s">
        <v>72</v>
      </c>
      <c r="C33" s="323"/>
      <c r="D33" s="332" t="s">
        <v>4</v>
      </c>
      <c r="E33" s="333"/>
      <c r="F33" s="182">
        <f>100-F32</f>
        <v>62</v>
      </c>
      <c r="G33" s="183">
        <f>100-G32</f>
        <v>71</v>
      </c>
      <c r="H33" s="183">
        <f>100-H32</f>
        <v>73</v>
      </c>
      <c r="I33" s="184">
        <f>100-I32</f>
        <v>58</v>
      </c>
      <c r="J33" s="181"/>
      <c r="K33" s="185">
        <f t="shared" si="47"/>
        <v>66</v>
      </c>
      <c r="L33" s="186">
        <f t="shared" si="48"/>
        <v>66</v>
      </c>
      <c r="M33" s="186">
        <f t="shared" si="49"/>
        <v>65</v>
      </c>
      <c r="N33" s="186">
        <f t="shared" si="50"/>
        <v>59</v>
      </c>
      <c r="O33" s="186">
        <f t="shared" si="51"/>
        <v>56</v>
      </c>
      <c r="P33" s="183">
        <f>100-P32</f>
        <v>60.586854460093896</v>
      </c>
      <c r="Q33" s="186">
        <f>'2001'!AU33</f>
        <v>74</v>
      </c>
      <c r="R33" s="183">
        <f>100-R32</f>
        <v>60.135951661631417</v>
      </c>
      <c r="S33" s="186">
        <f t="shared" si="52"/>
        <v>69</v>
      </c>
      <c r="T33" s="186">
        <f t="shared" si="53"/>
        <v>61</v>
      </c>
      <c r="U33" s="187">
        <f t="shared" si="53"/>
        <v>53</v>
      </c>
      <c r="V33" s="183">
        <f>100-V32</f>
        <v>84.378821774794929</v>
      </c>
      <c r="W33" s="186">
        <f t="shared" si="54"/>
        <v>80</v>
      </c>
      <c r="X33" s="183">
        <f>100-X32</f>
        <v>70.990291262135926</v>
      </c>
      <c r="Y33" s="183">
        <f>100-Y32</f>
        <v>54.362847222222221</v>
      </c>
      <c r="Z33" s="186">
        <f t="shared" si="55"/>
        <v>68</v>
      </c>
      <c r="AA33" s="183">
        <f>100-AA32</f>
        <v>66.820083682008374</v>
      </c>
      <c r="AB33" s="187">
        <f t="shared" si="56"/>
        <v>79</v>
      </c>
      <c r="AC33" s="186">
        <f t="shared" si="57"/>
        <v>68</v>
      </c>
      <c r="AD33" s="186">
        <f t="shared" si="58"/>
        <v>76</v>
      </c>
      <c r="AE33" s="183">
        <f>100-AE32</f>
        <v>71.793184488836658</v>
      </c>
      <c r="AF33" s="186">
        <f t="shared" si="59"/>
        <v>76</v>
      </c>
      <c r="AG33" s="186">
        <f t="shared" si="60"/>
        <v>72</v>
      </c>
      <c r="AH33" s="186">
        <f t="shared" si="61"/>
        <v>58</v>
      </c>
      <c r="AI33" s="186">
        <f t="shared" si="62"/>
        <v>78</v>
      </c>
      <c r="AJ33" s="186">
        <f t="shared" si="63"/>
        <v>77</v>
      </c>
      <c r="AK33" s="187">
        <f t="shared" si="64"/>
        <v>76</v>
      </c>
      <c r="AL33" s="186">
        <f t="shared" si="65"/>
        <v>85</v>
      </c>
      <c r="AM33" s="186">
        <f t="shared" si="66"/>
        <v>52</v>
      </c>
      <c r="AN33" s="186">
        <f t="shared" si="67"/>
        <v>37</v>
      </c>
      <c r="AO33" s="186">
        <f t="shared" si="68"/>
        <v>75</v>
      </c>
      <c r="AP33" s="186">
        <f t="shared" si="68"/>
        <v>80</v>
      </c>
      <c r="AQ33" s="186">
        <f t="shared" si="69"/>
        <v>70</v>
      </c>
      <c r="AR33" s="186">
        <f t="shared" si="70"/>
        <v>51</v>
      </c>
      <c r="AS33" s="184">
        <f t="shared" ref="AS33:CL33" si="75">100-AS32</f>
        <v>58.091062965470549</v>
      </c>
      <c r="AT33" s="183">
        <f t="shared" si="75"/>
        <v>39</v>
      </c>
      <c r="AU33" s="183">
        <f t="shared" si="75"/>
        <v>74</v>
      </c>
      <c r="AV33" s="183">
        <f t="shared" si="75"/>
        <v>69</v>
      </c>
      <c r="AW33" s="183">
        <f t="shared" si="75"/>
        <v>59</v>
      </c>
      <c r="AX33" s="183">
        <f t="shared" si="75"/>
        <v>63</v>
      </c>
      <c r="AY33" s="183">
        <f t="shared" si="75"/>
        <v>66</v>
      </c>
      <c r="AZ33" s="183">
        <f t="shared" si="75"/>
        <v>41</v>
      </c>
      <c r="BA33" s="183">
        <f t="shared" si="75"/>
        <v>62</v>
      </c>
      <c r="BB33" s="183">
        <f t="shared" si="75"/>
        <v>61</v>
      </c>
      <c r="BC33" s="183">
        <f t="shared" si="75"/>
        <v>53</v>
      </c>
      <c r="BD33" s="183">
        <f t="shared" si="75"/>
        <v>65</v>
      </c>
      <c r="BE33" s="183">
        <f t="shared" si="75"/>
        <v>56</v>
      </c>
      <c r="BF33" s="188">
        <f t="shared" si="75"/>
        <v>66</v>
      </c>
      <c r="BG33" s="183">
        <f t="shared" si="75"/>
        <v>86</v>
      </c>
      <c r="BH33" s="183">
        <f t="shared" si="75"/>
        <v>59</v>
      </c>
      <c r="BI33" s="183">
        <f t="shared" si="75"/>
        <v>72</v>
      </c>
      <c r="BJ33" s="183">
        <f t="shared" si="75"/>
        <v>84</v>
      </c>
      <c r="BK33" s="183">
        <f t="shared" si="75"/>
        <v>28</v>
      </c>
      <c r="BL33" s="183">
        <f t="shared" si="75"/>
        <v>33</v>
      </c>
      <c r="BM33" s="183">
        <f t="shared" si="75"/>
        <v>68</v>
      </c>
      <c r="BN33" s="183">
        <f t="shared" si="75"/>
        <v>58</v>
      </c>
      <c r="BO33" s="183">
        <f t="shared" si="75"/>
        <v>50</v>
      </c>
      <c r="BP33" s="183">
        <f t="shared" si="75"/>
        <v>79</v>
      </c>
      <c r="BQ33" s="183">
        <f t="shared" si="75"/>
        <v>68</v>
      </c>
      <c r="BR33" s="188">
        <f t="shared" si="75"/>
        <v>80</v>
      </c>
      <c r="BS33" s="183">
        <f t="shared" si="75"/>
        <v>69</v>
      </c>
      <c r="BT33" s="183">
        <f t="shared" si="75"/>
        <v>72</v>
      </c>
      <c r="BU33" s="183">
        <f t="shared" si="75"/>
        <v>76</v>
      </c>
      <c r="BV33" s="183">
        <f t="shared" si="75"/>
        <v>72</v>
      </c>
      <c r="BW33" s="183">
        <f t="shared" si="75"/>
        <v>78</v>
      </c>
      <c r="BX33" s="183">
        <f t="shared" si="75"/>
        <v>68</v>
      </c>
      <c r="BY33" s="183">
        <f t="shared" si="75"/>
        <v>77</v>
      </c>
      <c r="BZ33" s="183">
        <f t="shared" si="75"/>
        <v>58</v>
      </c>
      <c r="CA33" s="183">
        <f t="shared" si="75"/>
        <v>76</v>
      </c>
      <c r="CB33" s="188">
        <f t="shared" si="75"/>
        <v>76</v>
      </c>
      <c r="CC33" s="183">
        <f t="shared" si="75"/>
        <v>75</v>
      </c>
      <c r="CD33" s="183">
        <f t="shared" si="75"/>
        <v>80</v>
      </c>
      <c r="CE33" s="183">
        <f t="shared" si="75"/>
        <v>85</v>
      </c>
      <c r="CF33" s="183">
        <f t="shared" si="75"/>
        <v>44</v>
      </c>
      <c r="CG33" s="183">
        <f t="shared" si="75"/>
        <v>59</v>
      </c>
      <c r="CH33" s="183">
        <f t="shared" si="75"/>
        <v>52</v>
      </c>
      <c r="CI33" s="183">
        <f t="shared" si="75"/>
        <v>51</v>
      </c>
      <c r="CJ33" s="183">
        <f t="shared" si="75"/>
        <v>37</v>
      </c>
      <c r="CK33" s="184">
        <f t="shared" si="75"/>
        <v>70</v>
      </c>
      <c r="CL33" s="189">
        <f t="shared" si="75"/>
        <v>65</v>
      </c>
    </row>
    <row r="34" spans="1:90">
      <c r="A34" s="93">
        <f>ROWS($A$3:A32)</f>
        <v>30</v>
      </c>
      <c r="B34" s="67" t="s">
        <v>73</v>
      </c>
      <c r="C34" s="241"/>
      <c r="D34" s="332"/>
      <c r="E34" s="333"/>
      <c r="F34" s="156"/>
      <c r="G34" s="177"/>
      <c r="H34" s="177"/>
      <c r="I34" s="178"/>
      <c r="J34" s="181"/>
      <c r="K34" s="156"/>
      <c r="L34" s="177"/>
      <c r="M34" s="177"/>
      <c r="N34" s="177"/>
      <c r="O34" s="177"/>
      <c r="P34" s="177"/>
      <c r="Q34" s="177"/>
      <c r="R34" s="177"/>
      <c r="S34" s="177"/>
      <c r="T34" s="177"/>
      <c r="U34" s="179"/>
      <c r="V34" s="177"/>
      <c r="W34" s="177"/>
      <c r="X34" s="177"/>
      <c r="Y34" s="177"/>
      <c r="Z34" s="177"/>
      <c r="AA34" s="177"/>
      <c r="AB34" s="179"/>
      <c r="AC34" s="177"/>
      <c r="AD34" s="177"/>
      <c r="AE34" s="177"/>
      <c r="AF34" s="177"/>
      <c r="AG34" s="177"/>
      <c r="AH34" s="177"/>
      <c r="AI34" s="177"/>
      <c r="AJ34" s="177"/>
      <c r="AK34" s="179"/>
      <c r="AL34" s="177"/>
      <c r="AM34" s="177"/>
      <c r="AN34" s="177"/>
      <c r="AO34" s="177"/>
      <c r="AP34" s="177"/>
      <c r="AQ34" s="177"/>
      <c r="AR34" s="177"/>
      <c r="AS34" s="178"/>
      <c r="AT34" s="177"/>
      <c r="AU34" s="177"/>
      <c r="AV34" s="177"/>
      <c r="AW34" s="177"/>
      <c r="AX34" s="177"/>
      <c r="AY34" s="177"/>
      <c r="AZ34" s="177"/>
      <c r="BA34" s="177"/>
      <c r="BB34" s="177"/>
      <c r="BC34" s="177"/>
      <c r="BD34" s="177"/>
      <c r="BE34" s="177"/>
      <c r="BF34" s="179"/>
      <c r="BG34" s="177"/>
      <c r="BH34" s="177"/>
      <c r="BI34" s="177"/>
      <c r="BJ34" s="177"/>
      <c r="BK34" s="177"/>
      <c r="BL34" s="177"/>
      <c r="BM34" s="177"/>
      <c r="BN34" s="177"/>
      <c r="BO34" s="177"/>
      <c r="BP34" s="177"/>
      <c r="BQ34" s="177"/>
      <c r="BR34" s="179"/>
      <c r="BS34" s="177"/>
      <c r="BT34" s="177"/>
      <c r="BU34" s="177"/>
      <c r="BV34" s="177"/>
      <c r="BW34" s="177"/>
      <c r="BX34" s="177"/>
      <c r="BY34" s="177"/>
      <c r="BZ34" s="177"/>
      <c r="CA34" s="177"/>
      <c r="CB34" s="179"/>
      <c r="CC34" s="177"/>
      <c r="CD34" s="177"/>
      <c r="CE34" s="177"/>
      <c r="CF34" s="177"/>
      <c r="CG34" s="177"/>
      <c r="CH34" s="177"/>
      <c r="CI34" s="177"/>
      <c r="CJ34" s="177"/>
      <c r="CK34" s="178"/>
      <c r="CL34" s="180"/>
    </row>
    <row r="35" spans="1:90">
      <c r="A35" s="93">
        <f>ROWS($A$3:A33)</f>
        <v>31</v>
      </c>
      <c r="B35" s="106" t="s">
        <v>75</v>
      </c>
      <c r="C35" s="242">
        <v>2001</v>
      </c>
      <c r="D35" s="314" t="s">
        <v>1</v>
      </c>
      <c r="E35" s="337"/>
      <c r="F35" s="156">
        <v>480048</v>
      </c>
      <c r="G35" s="177">
        <v>205981</v>
      </c>
      <c r="H35" s="177">
        <v>339924</v>
      </c>
      <c r="I35" s="178">
        <v>439333</v>
      </c>
      <c r="J35" s="181"/>
      <c r="K35" s="156">
        <f>BF35</f>
        <v>67656</v>
      </c>
      <c r="L35" s="177">
        <f>AY35</f>
        <v>27215</v>
      </c>
      <c r="M35" s="177">
        <f>BD35</f>
        <v>69241</v>
      </c>
      <c r="N35" s="177">
        <f>AW35</f>
        <v>29014</v>
      </c>
      <c r="O35" s="177">
        <f>BE35</f>
        <v>26882</v>
      </c>
      <c r="P35" s="177">
        <f>'2001'!AZ35+'2001'!BA35</f>
        <v>59762</v>
      </c>
      <c r="Q35" s="177">
        <f>'2001'!AU35</f>
        <v>22736</v>
      </c>
      <c r="R35" s="177">
        <f>AT35+AX35</f>
        <v>35976</v>
      </c>
      <c r="S35" s="177">
        <f>AV35</f>
        <v>20667</v>
      </c>
      <c r="T35" s="177">
        <f t="shared" ref="T35:U39" si="76">BB35</f>
        <v>42352</v>
      </c>
      <c r="U35" s="179">
        <f t="shared" si="76"/>
        <v>78548</v>
      </c>
      <c r="V35" s="177">
        <f>BG35+BJ35</f>
        <v>16432</v>
      </c>
      <c r="W35" s="177">
        <f>BR35</f>
        <v>20259</v>
      </c>
      <c r="X35" s="177">
        <f>BH35+BI35</f>
        <v>40456</v>
      </c>
      <c r="Y35" s="177">
        <f>BK35+BL35+BN35</f>
        <v>43664</v>
      </c>
      <c r="Z35" s="177">
        <f>BM35</f>
        <v>47271</v>
      </c>
      <c r="AA35" s="177">
        <f>BO35+BQ35</f>
        <v>20431</v>
      </c>
      <c r="AB35" s="179">
        <f>BP35</f>
        <v>17468</v>
      </c>
      <c r="AC35" s="177">
        <f>BX35</f>
        <v>40565</v>
      </c>
      <c r="AD35" s="177">
        <f>BU35</f>
        <v>23925</v>
      </c>
      <c r="AE35" s="177">
        <f>BS35+BT35</f>
        <v>55754</v>
      </c>
      <c r="AF35" s="177">
        <f>CA35</f>
        <v>24986</v>
      </c>
      <c r="AG35" s="177">
        <f>BV35</f>
        <v>61089</v>
      </c>
      <c r="AH35" s="177">
        <f>BZ35</f>
        <v>35623</v>
      </c>
      <c r="AI35" s="177">
        <f>BW35</f>
        <v>31842</v>
      </c>
      <c r="AJ35" s="177">
        <f>BY35</f>
        <v>25305</v>
      </c>
      <c r="AK35" s="179">
        <f>CB35</f>
        <v>40834</v>
      </c>
      <c r="AL35" s="177">
        <f>CE35</f>
        <v>34562</v>
      </c>
      <c r="AM35" s="177">
        <f>CH35</f>
        <v>78375</v>
      </c>
      <c r="AN35" s="177">
        <f>CJ35</f>
        <v>90622</v>
      </c>
      <c r="AO35" s="177">
        <f t="shared" ref="AO35:AP39" si="77">CC35</f>
        <v>43429</v>
      </c>
      <c r="AP35" s="177">
        <f t="shared" si="77"/>
        <v>20009</v>
      </c>
      <c r="AQ35" s="177">
        <f>CK35</f>
        <v>56082</v>
      </c>
      <c r="AR35" s="177">
        <f>CI35</f>
        <v>35035</v>
      </c>
      <c r="AS35" s="178">
        <f>CF35+CG35</f>
        <v>81218</v>
      </c>
      <c r="AT35" s="177">
        <v>2493</v>
      </c>
      <c r="AU35" s="177">
        <v>22736</v>
      </c>
      <c r="AV35" s="177">
        <v>20667</v>
      </c>
      <c r="AW35" s="181">
        <v>29014</v>
      </c>
      <c r="AX35" s="177">
        <v>33483</v>
      </c>
      <c r="AY35" s="177">
        <v>27215</v>
      </c>
      <c r="AZ35" s="177">
        <v>4553</v>
      </c>
      <c r="BA35" s="177">
        <v>55209</v>
      </c>
      <c r="BB35" s="177">
        <v>42352</v>
      </c>
      <c r="BC35" s="177">
        <v>78548</v>
      </c>
      <c r="BD35" s="177">
        <v>69241</v>
      </c>
      <c r="BE35" s="177">
        <v>26882</v>
      </c>
      <c r="BF35" s="179">
        <v>67656</v>
      </c>
      <c r="BG35" s="177">
        <v>1582</v>
      </c>
      <c r="BH35" s="177">
        <v>2612</v>
      </c>
      <c r="BI35" s="177">
        <v>37844</v>
      </c>
      <c r="BJ35" s="177">
        <v>14850</v>
      </c>
      <c r="BK35" s="177">
        <v>1890</v>
      </c>
      <c r="BL35" s="177">
        <v>3105</v>
      </c>
      <c r="BM35" s="177">
        <v>47271</v>
      </c>
      <c r="BN35" s="177">
        <v>38669</v>
      </c>
      <c r="BO35" s="177">
        <v>1240</v>
      </c>
      <c r="BP35" s="177">
        <v>17468</v>
      </c>
      <c r="BQ35" s="177">
        <v>19191</v>
      </c>
      <c r="BR35" s="179">
        <v>20259</v>
      </c>
      <c r="BS35" s="177">
        <v>3623</v>
      </c>
      <c r="BT35" s="177">
        <v>52131</v>
      </c>
      <c r="BU35" s="177">
        <v>23925</v>
      </c>
      <c r="BV35" s="177">
        <v>61089</v>
      </c>
      <c r="BW35" s="177">
        <v>31842</v>
      </c>
      <c r="BX35" s="177">
        <v>40565</v>
      </c>
      <c r="BY35" s="177">
        <v>25305</v>
      </c>
      <c r="BZ35" s="177">
        <v>35623</v>
      </c>
      <c r="CA35" s="177">
        <v>24986</v>
      </c>
      <c r="CB35" s="179">
        <v>40834</v>
      </c>
      <c r="CC35" s="177">
        <v>43429</v>
      </c>
      <c r="CD35" s="177">
        <v>20009</v>
      </c>
      <c r="CE35" s="177">
        <v>34562</v>
      </c>
      <c r="CF35" s="177">
        <v>4836</v>
      </c>
      <c r="CG35" s="177">
        <v>76382</v>
      </c>
      <c r="CH35" s="177">
        <v>78375</v>
      </c>
      <c r="CI35" s="177">
        <v>35035</v>
      </c>
      <c r="CJ35" s="177">
        <v>90622</v>
      </c>
      <c r="CK35" s="178">
        <v>56082</v>
      </c>
      <c r="CL35" s="180">
        <v>1465286</v>
      </c>
    </row>
    <row r="36" spans="1:90">
      <c r="A36" s="93">
        <f>ROWS($A$3:A34)</f>
        <v>32</v>
      </c>
      <c r="B36" s="106" t="s">
        <v>76</v>
      </c>
      <c r="C36" s="243"/>
      <c r="D36" s="314" t="s">
        <v>1</v>
      </c>
      <c r="E36" s="337"/>
      <c r="F36" s="156">
        <v>316887</v>
      </c>
      <c r="G36" s="177">
        <v>145088</v>
      </c>
      <c r="H36" s="177">
        <v>148601</v>
      </c>
      <c r="I36" s="178">
        <v>232261</v>
      </c>
      <c r="J36" s="181"/>
      <c r="K36" s="156">
        <f>BF36</f>
        <v>34804</v>
      </c>
      <c r="L36" s="177">
        <f>AY36</f>
        <v>12252</v>
      </c>
      <c r="M36" s="177">
        <f>BD36</f>
        <v>59838</v>
      </c>
      <c r="N36" s="177">
        <f>AW36</f>
        <v>12690</v>
      </c>
      <c r="O36" s="177">
        <f>BE36</f>
        <v>17235</v>
      </c>
      <c r="P36" s="177">
        <f>'2001'!AZ36+'2001'!BA36</f>
        <v>45706</v>
      </c>
      <c r="Q36" s="177">
        <f>'2001'!AU36</f>
        <v>15715</v>
      </c>
      <c r="R36" s="177">
        <f>AT36+AX36</f>
        <v>27123</v>
      </c>
      <c r="S36" s="177">
        <f>AV36</f>
        <v>10527</v>
      </c>
      <c r="T36" s="177">
        <f t="shared" si="76"/>
        <v>30935</v>
      </c>
      <c r="U36" s="179">
        <f t="shared" si="76"/>
        <v>50062</v>
      </c>
      <c r="V36" s="177">
        <f>BG36+BJ36</f>
        <v>10488</v>
      </c>
      <c r="W36" s="177">
        <f>BR36</f>
        <v>10136</v>
      </c>
      <c r="X36" s="177">
        <f>BH36+BI36</f>
        <v>32811</v>
      </c>
      <c r="Y36" s="177">
        <f>BK36+BL36+BN36</f>
        <v>34730</v>
      </c>
      <c r="Z36" s="177">
        <f>BM36</f>
        <v>35586</v>
      </c>
      <c r="AA36" s="177">
        <f>BO36+BQ36</f>
        <v>12977</v>
      </c>
      <c r="AB36" s="179">
        <f>BP36</f>
        <v>8360</v>
      </c>
      <c r="AC36" s="177">
        <f>BX36</f>
        <v>15954</v>
      </c>
      <c r="AD36" s="177">
        <f>BU36</f>
        <v>10567</v>
      </c>
      <c r="AE36" s="177">
        <f>BS36+BT36</f>
        <v>21752</v>
      </c>
      <c r="AF36" s="177">
        <f>CA36</f>
        <v>7728</v>
      </c>
      <c r="AG36" s="177">
        <f>BV36</f>
        <v>29051</v>
      </c>
      <c r="AH36" s="177">
        <f>BZ36</f>
        <v>20264</v>
      </c>
      <c r="AI36" s="177">
        <f>BW36</f>
        <v>17536</v>
      </c>
      <c r="AJ36" s="177">
        <f>BY36</f>
        <v>9524</v>
      </c>
      <c r="AK36" s="179">
        <f>CB36</f>
        <v>16225</v>
      </c>
      <c r="AL36" s="177">
        <f>CE36</f>
        <v>13772</v>
      </c>
      <c r="AM36" s="177">
        <f>CH36</f>
        <v>51057</v>
      </c>
      <c r="AN36" s="177">
        <f>CJ36</f>
        <v>24152</v>
      </c>
      <c r="AO36" s="177">
        <f t="shared" si="77"/>
        <v>20198</v>
      </c>
      <c r="AP36" s="177">
        <f t="shared" si="77"/>
        <v>13393</v>
      </c>
      <c r="AQ36" s="177">
        <f>CK36</f>
        <v>35249</v>
      </c>
      <c r="AR36" s="177">
        <f>CI36</f>
        <v>14132</v>
      </c>
      <c r="AS36" s="178">
        <f>CF36+CG36</f>
        <v>60308</v>
      </c>
      <c r="AT36" s="177">
        <v>1524</v>
      </c>
      <c r="AU36" s="181">
        <v>15715</v>
      </c>
      <c r="AV36" s="181">
        <v>10527</v>
      </c>
      <c r="AW36" s="181">
        <v>12690</v>
      </c>
      <c r="AX36" s="181">
        <v>25599</v>
      </c>
      <c r="AY36" s="177">
        <v>12252</v>
      </c>
      <c r="AZ36" s="177">
        <v>3624</v>
      </c>
      <c r="BA36" s="177">
        <v>42082</v>
      </c>
      <c r="BB36" s="177">
        <v>30935</v>
      </c>
      <c r="BC36" s="177">
        <v>50062</v>
      </c>
      <c r="BD36" s="177">
        <v>59838</v>
      </c>
      <c r="BE36" s="177">
        <v>17235</v>
      </c>
      <c r="BF36" s="179">
        <v>34804</v>
      </c>
      <c r="BG36" s="177">
        <v>557</v>
      </c>
      <c r="BH36" s="177">
        <v>2123</v>
      </c>
      <c r="BI36" s="177">
        <v>30688</v>
      </c>
      <c r="BJ36" s="177">
        <v>9931</v>
      </c>
      <c r="BK36" s="177">
        <v>1549</v>
      </c>
      <c r="BL36" s="177">
        <v>2849</v>
      </c>
      <c r="BM36" s="177">
        <v>35586</v>
      </c>
      <c r="BN36" s="177">
        <v>30332</v>
      </c>
      <c r="BO36" s="177">
        <v>739</v>
      </c>
      <c r="BP36" s="177">
        <v>8360</v>
      </c>
      <c r="BQ36" s="177">
        <v>12238</v>
      </c>
      <c r="BR36" s="179">
        <v>10136</v>
      </c>
      <c r="BS36" s="177">
        <v>1708</v>
      </c>
      <c r="BT36" s="177">
        <v>20044</v>
      </c>
      <c r="BU36" s="177">
        <v>10567</v>
      </c>
      <c r="BV36" s="177">
        <v>29051</v>
      </c>
      <c r="BW36" s="177">
        <v>17536</v>
      </c>
      <c r="BX36" s="177">
        <v>15954</v>
      </c>
      <c r="BY36" s="177">
        <v>9524</v>
      </c>
      <c r="BZ36" s="177">
        <v>20264</v>
      </c>
      <c r="CA36" s="177">
        <v>7728</v>
      </c>
      <c r="CB36" s="179">
        <v>16225</v>
      </c>
      <c r="CC36" s="177">
        <v>20198</v>
      </c>
      <c r="CD36" s="177">
        <v>13393</v>
      </c>
      <c r="CE36" s="177">
        <v>13772</v>
      </c>
      <c r="CF36" s="177">
        <v>4066</v>
      </c>
      <c r="CG36" s="177">
        <v>56242</v>
      </c>
      <c r="CH36" s="177">
        <v>51057</v>
      </c>
      <c r="CI36" s="177">
        <v>14132</v>
      </c>
      <c r="CJ36" s="177">
        <v>24152</v>
      </c>
      <c r="CK36" s="178">
        <v>35249</v>
      </c>
      <c r="CL36" s="180">
        <v>842837</v>
      </c>
    </row>
    <row r="37" spans="1:90">
      <c r="A37" s="93">
        <f>ROWS($A$3:A35)</f>
        <v>33</v>
      </c>
      <c r="B37" s="106" t="s">
        <v>7</v>
      </c>
      <c r="C37" s="243"/>
      <c r="D37" s="314" t="s">
        <v>1</v>
      </c>
      <c r="E37" s="337"/>
      <c r="F37" s="156">
        <v>147375</v>
      </c>
      <c r="G37" s="177">
        <v>56333</v>
      </c>
      <c r="H37" s="177">
        <v>170993</v>
      </c>
      <c r="I37" s="178">
        <v>197172</v>
      </c>
      <c r="J37" s="181"/>
      <c r="K37" s="156">
        <f>BF37</f>
        <v>32490</v>
      </c>
      <c r="L37" s="177">
        <f>AY37</f>
        <v>13204</v>
      </c>
      <c r="M37" s="177">
        <f>BD37</f>
        <v>8372</v>
      </c>
      <c r="N37" s="177">
        <f>AW37</f>
        <v>16171</v>
      </c>
      <c r="O37" s="177">
        <f>BE37</f>
        <v>9613</v>
      </c>
      <c r="P37" s="177">
        <f>'2001'!AZ37+'2001'!BA37</f>
        <v>6986</v>
      </c>
      <c r="Q37" s="177">
        <f>'2001'!AU37</f>
        <v>6863</v>
      </c>
      <c r="R37" s="177">
        <f>AT37+AX37</f>
        <v>6047</v>
      </c>
      <c r="S37" s="177">
        <f>AV37</f>
        <v>9637</v>
      </c>
      <c r="T37" s="177">
        <f t="shared" si="76"/>
        <v>9759</v>
      </c>
      <c r="U37" s="179">
        <f t="shared" si="76"/>
        <v>28233</v>
      </c>
      <c r="V37" s="177">
        <f>BG37+BJ37</f>
        <v>4690</v>
      </c>
      <c r="W37" s="177">
        <f>BR37</f>
        <v>10073</v>
      </c>
      <c r="X37" s="177">
        <f>BH37+BI37</f>
        <v>6566</v>
      </c>
      <c r="Y37" s="177">
        <f>BK37+BL37+BN37</f>
        <v>7591</v>
      </c>
      <c r="Z37" s="177">
        <f>BM37</f>
        <v>11279</v>
      </c>
      <c r="AA37" s="177">
        <f>BO37+BQ37</f>
        <v>7190</v>
      </c>
      <c r="AB37" s="179">
        <f>BP37</f>
        <v>8944</v>
      </c>
      <c r="AC37" s="177">
        <f>BX37</f>
        <v>24560</v>
      </c>
      <c r="AD37" s="177">
        <f>BU37</f>
        <v>10552</v>
      </c>
      <c r="AE37" s="177">
        <f>BS37+BT37</f>
        <v>27012</v>
      </c>
      <c r="AF37" s="177">
        <f>CA37</f>
        <v>15731</v>
      </c>
      <c r="AG37" s="177">
        <f>BV37</f>
        <v>24577</v>
      </c>
      <c r="AH37" s="177">
        <f>BZ37</f>
        <v>14240</v>
      </c>
      <c r="AI37" s="177">
        <f>BW37</f>
        <v>14264</v>
      </c>
      <c r="AJ37" s="177">
        <f>BY37</f>
        <v>15750</v>
      </c>
      <c r="AK37" s="179">
        <f>CB37</f>
        <v>24307</v>
      </c>
      <c r="AL37" s="177">
        <f>CE37</f>
        <v>20593</v>
      </c>
      <c r="AM37" s="177">
        <f>CH37</f>
        <v>27103</v>
      </c>
      <c r="AN37" s="177">
        <f>CJ37</f>
        <v>64939</v>
      </c>
      <c r="AO37" s="177">
        <f t="shared" si="77"/>
        <v>23004</v>
      </c>
      <c r="AP37" s="177">
        <f t="shared" si="77"/>
        <v>6533</v>
      </c>
      <c r="AQ37" s="177">
        <f>CK37</f>
        <v>20673</v>
      </c>
      <c r="AR37" s="177">
        <f>CI37</f>
        <v>13610</v>
      </c>
      <c r="AS37" s="178">
        <f>CF37+CG37</f>
        <v>20717</v>
      </c>
      <c r="AT37" s="181">
        <v>476</v>
      </c>
      <c r="AU37" s="181">
        <v>6863</v>
      </c>
      <c r="AV37" s="181">
        <v>9637</v>
      </c>
      <c r="AW37" s="181">
        <v>16171</v>
      </c>
      <c r="AX37" s="181">
        <v>5571</v>
      </c>
      <c r="AY37" s="177">
        <v>13204</v>
      </c>
      <c r="AZ37" s="177">
        <v>212</v>
      </c>
      <c r="BA37" s="177">
        <v>6774</v>
      </c>
      <c r="BB37" s="177">
        <v>9759</v>
      </c>
      <c r="BC37" s="177">
        <v>28233</v>
      </c>
      <c r="BD37" s="177">
        <v>8372</v>
      </c>
      <c r="BE37" s="177">
        <v>9613</v>
      </c>
      <c r="BF37" s="179">
        <v>32490</v>
      </c>
      <c r="BG37" s="177">
        <v>724</v>
      </c>
      <c r="BH37" s="177">
        <v>401</v>
      </c>
      <c r="BI37" s="177">
        <v>6165</v>
      </c>
      <c r="BJ37" s="177">
        <v>3966</v>
      </c>
      <c r="BK37" s="177">
        <v>255</v>
      </c>
      <c r="BL37" s="177">
        <v>245</v>
      </c>
      <c r="BM37" s="177">
        <v>11279</v>
      </c>
      <c r="BN37" s="177">
        <v>7091</v>
      </c>
      <c r="BO37" s="177">
        <v>499</v>
      </c>
      <c r="BP37" s="177">
        <v>8944</v>
      </c>
      <c r="BQ37" s="177">
        <v>6691</v>
      </c>
      <c r="BR37" s="179">
        <v>10073</v>
      </c>
      <c r="BS37" s="177">
        <v>1083</v>
      </c>
      <c r="BT37" s="177">
        <v>25929</v>
      </c>
      <c r="BU37" s="177">
        <v>10552</v>
      </c>
      <c r="BV37" s="177">
        <v>24577</v>
      </c>
      <c r="BW37" s="177">
        <v>14264</v>
      </c>
      <c r="BX37" s="177">
        <v>24560</v>
      </c>
      <c r="BY37" s="177">
        <v>15750</v>
      </c>
      <c r="BZ37" s="177">
        <v>14240</v>
      </c>
      <c r="CA37" s="177">
        <v>15731</v>
      </c>
      <c r="CB37" s="179">
        <v>24307</v>
      </c>
      <c r="CC37" s="177">
        <v>23004</v>
      </c>
      <c r="CD37" s="177">
        <v>6533</v>
      </c>
      <c r="CE37" s="177">
        <v>20593</v>
      </c>
      <c r="CF37" s="177">
        <v>738</v>
      </c>
      <c r="CG37" s="177">
        <v>19979</v>
      </c>
      <c r="CH37" s="177">
        <v>27103</v>
      </c>
      <c r="CI37" s="177">
        <v>13610</v>
      </c>
      <c r="CJ37" s="177">
        <v>64939</v>
      </c>
      <c r="CK37" s="178">
        <v>20673</v>
      </c>
      <c r="CL37" s="180">
        <v>571873</v>
      </c>
    </row>
    <row r="38" spans="1:90">
      <c r="A38" s="93">
        <f>ROWS($A$3:A36)</f>
        <v>34</v>
      </c>
      <c r="B38" s="106" t="s">
        <v>263</v>
      </c>
      <c r="C38" s="243"/>
      <c r="D38" s="314" t="s">
        <v>1</v>
      </c>
      <c r="E38" s="337"/>
      <c r="F38" s="156">
        <v>3551</v>
      </c>
      <c r="G38" s="177">
        <v>1476</v>
      </c>
      <c r="H38" s="177">
        <v>8196</v>
      </c>
      <c r="I38" s="178">
        <v>8366</v>
      </c>
      <c r="J38" s="181"/>
      <c r="K38" s="156">
        <f>BF38</f>
        <v>20</v>
      </c>
      <c r="L38" s="177">
        <f>AY38</f>
        <v>547</v>
      </c>
      <c r="M38" s="177">
        <f>BD38</f>
        <v>87</v>
      </c>
      <c r="N38" s="177">
        <f>AW38</f>
        <v>88</v>
      </c>
      <c r="O38" s="177">
        <f>BE38</f>
        <v>6</v>
      </c>
      <c r="P38" s="177">
        <f>'2001'!AZ38+'2001'!BA38</f>
        <v>1069</v>
      </c>
      <c r="Q38" s="177">
        <f>'2001'!AU38</f>
        <v>114</v>
      </c>
      <c r="R38" s="177">
        <f>AT38+AX38</f>
        <v>531</v>
      </c>
      <c r="S38" s="177">
        <f>AV38</f>
        <v>206</v>
      </c>
      <c r="T38" s="177">
        <f t="shared" si="76"/>
        <v>733</v>
      </c>
      <c r="U38" s="179">
        <f t="shared" si="76"/>
        <v>150</v>
      </c>
      <c r="V38" s="177">
        <f>BG38+BJ38</f>
        <v>613</v>
      </c>
      <c r="W38" s="177">
        <f>BR38</f>
        <v>21</v>
      </c>
      <c r="X38" s="177">
        <f>BH38+BI38</f>
        <v>250</v>
      </c>
      <c r="Y38" s="177">
        <f>BK38+BN38</f>
        <v>475</v>
      </c>
      <c r="Z38" s="177">
        <f>BM38</f>
        <v>80</v>
      </c>
      <c r="AA38" s="177">
        <f>BQ38</f>
        <v>27</v>
      </c>
      <c r="AB38" s="179">
        <f>BP38</f>
        <v>4</v>
      </c>
      <c r="AC38" s="177">
        <f>BX38</f>
        <v>8</v>
      </c>
      <c r="AD38" s="177">
        <f>BU38</f>
        <v>722</v>
      </c>
      <c r="AE38" s="177">
        <f>BS38+BT38</f>
        <v>1020</v>
      </c>
      <c r="AF38" s="177">
        <f>CA38</f>
        <v>722</v>
      </c>
      <c r="AG38" s="177">
        <f>BV38</f>
        <v>4585</v>
      </c>
      <c r="AH38" s="177">
        <f>BZ38</f>
        <v>936</v>
      </c>
      <c r="AI38" s="177" t="str">
        <f>BW38</f>
        <v>*</v>
      </c>
      <c r="AJ38" s="177" t="str">
        <f>BY38</f>
        <v>*</v>
      </c>
      <c r="AK38" s="179">
        <f>CB38</f>
        <v>190</v>
      </c>
      <c r="AL38" s="177">
        <f>CE38</f>
        <v>33</v>
      </c>
      <c r="AM38" s="177">
        <f>CH38</f>
        <v>39</v>
      </c>
      <c r="AN38" s="177">
        <f>CJ38</f>
        <v>1335</v>
      </c>
      <c r="AO38" s="177">
        <f t="shared" si="77"/>
        <v>100</v>
      </c>
      <c r="AP38" s="177">
        <f t="shared" si="77"/>
        <v>61</v>
      </c>
      <c r="AQ38" s="177">
        <f>CK38</f>
        <v>31</v>
      </c>
      <c r="AR38" s="177">
        <f>CI38</f>
        <v>6684</v>
      </c>
      <c r="AS38" s="178">
        <f>CF38+CG38</f>
        <v>85</v>
      </c>
      <c r="AT38" s="181">
        <v>91</v>
      </c>
      <c r="AU38" s="181">
        <v>114</v>
      </c>
      <c r="AV38" s="181">
        <v>206</v>
      </c>
      <c r="AW38" s="181">
        <v>88</v>
      </c>
      <c r="AX38" s="181">
        <v>440</v>
      </c>
      <c r="AY38" s="177">
        <v>547</v>
      </c>
      <c r="AZ38" s="177">
        <v>51</v>
      </c>
      <c r="BA38" s="177">
        <v>1018</v>
      </c>
      <c r="BB38" s="177">
        <v>733</v>
      </c>
      <c r="BC38" s="177">
        <v>150</v>
      </c>
      <c r="BD38" s="177">
        <v>87</v>
      </c>
      <c r="BE38" s="177">
        <v>6</v>
      </c>
      <c r="BF38" s="179">
        <v>20</v>
      </c>
      <c r="BG38" s="177">
        <v>60</v>
      </c>
      <c r="BH38" s="177">
        <v>55</v>
      </c>
      <c r="BI38" s="177">
        <v>195</v>
      </c>
      <c r="BJ38" s="177">
        <v>553</v>
      </c>
      <c r="BK38" s="177">
        <v>24</v>
      </c>
      <c r="BL38" s="177">
        <v>7</v>
      </c>
      <c r="BM38" s="177">
        <v>80</v>
      </c>
      <c r="BN38" s="177">
        <v>451</v>
      </c>
      <c r="BO38" s="177" t="s">
        <v>252</v>
      </c>
      <c r="BP38" s="177">
        <v>4</v>
      </c>
      <c r="BQ38" s="177">
        <v>27</v>
      </c>
      <c r="BR38" s="179">
        <v>21</v>
      </c>
      <c r="BS38" s="177">
        <v>107</v>
      </c>
      <c r="BT38" s="177">
        <v>913</v>
      </c>
      <c r="BU38" s="177">
        <v>722</v>
      </c>
      <c r="BV38" s="177">
        <v>4585</v>
      </c>
      <c r="BW38" s="177" t="s">
        <v>252</v>
      </c>
      <c r="BX38" s="177">
        <v>8</v>
      </c>
      <c r="BY38" s="177" t="s">
        <v>252</v>
      </c>
      <c r="BZ38" s="177">
        <v>936</v>
      </c>
      <c r="CA38" s="177">
        <v>722</v>
      </c>
      <c r="CB38" s="179">
        <v>190</v>
      </c>
      <c r="CC38" s="177">
        <v>100</v>
      </c>
      <c r="CD38" s="177">
        <v>61</v>
      </c>
      <c r="CE38" s="177">
        <v>33</v>
      </c>
      <c r="CF38" s="177">
        <v>12</v>
      </c>
      <c r="CG38" s="177">
        <v>73</v>
      </c>
      <c r="CH38" s="177">
        <v>39</v>
      </c>
      <c r="CI38" s="177">
        <v>6684</v>
      </c>
      <c r="CJ38" s="177">
        <v>1335</v>
      </c>
      <c r="CK38" s="178">
        <v>31</v>
      </c>
      <c r="CL38" s="180">
        <v>21589</v>
      </c>
    </row>
    <row r="39" spans="1:90">
      <c r="A39" s="93">
        <f>ROWS($A$3:A37)</f>
        <v>35</v>
      </c>
      <c r="B39" s="106" t="s">
        <v>264</v>
      </c>
      <c r="C39" s="243"/>
      <c r="D39" s="314" t="s">
        <v>1</v>
      </c>
      <c r="E39" s="337"/>
      <c r="F39" s="156">
        <v>10468</v>
      </c>
      <c r="G39" s="177">
        <v>2147</v>
      </c>
      <c r="H39" s="177">
        <v>10879</v>
      </c>
      <c r="I39" s="178">
        <v>508</v>
      </c>
      <c r="J39" s="181"/>
      <c r="K39" s="156" t="str">
        <f>BF39</f>
        <v>-</v>
      </c>
      <c r="L39" s="177">
        <f>AY39</f>
        <v>1054</v>
      </c>
      <c r="M39" s="177">
        <f>BD39</f>
        <v>805</v>
      </c>
      <c r="N39" s="177" t="str">
        <f>AW39</f>
        <v>-</v>
      </c>
      <c r="O39" s="177" t="str">
        <f>BE39</f>
        <v>-</v>
      </c>
      <c r="P39" s="177">
        <f>'2001'!AZ39+'2001'!BA39</f>
        <v>5673</v>
      </c>
      <c r="Q39" s="177" t="str">
        <f>'2001'!AU39</f>
        <v>*</v>
      </c>
      <c r="R39" s="177">
        <f>AT39+AX39</f>
        <v>2029</v>
      </c>
      <c r="S39" s="177">
        <f>AV39</f>
        <v>133</v>
      </c>
      <c r="T39" s="177">
        <f t="shared" si="76"/>
        <v>769</v>
      </c>
      <c r="U39" s="179" t="str">
        <f t="shared" si="76"/>
        <v>*</v>
      </c>
      <c r="V39" s="177">
        <f>BG39+BJ39</f>
        <v>557</v>
      </c>
      <c r="W39" s="177" t="str">
        <f>BR39</f>
        <v>-</v>
      </c>
      <c r="X39" s="177">
        <f>BI39</f>
        <v>738</v>
      </c>
      <c r="Y39" s="177">
        <f>BK39+BN39</f>
        <v>646</v>
      </c>
      <c r="Z39" s="177">
        <f>BM39</f>
        <v>6</v>
      </c>
      <c r="AA39" s="177">
        <f>BQ39</f>
        <v>192</v>
      </c>
      <c r="AB39" s="179" t="str">
        <f>BP39</f>
        <v>-</v>
      </c>
      <c r="AC39" s="177" t="str">
        <f>BX39</f>
        <v>-</v>
      </c>
      <c r="AD39" s="177">
        <f>BU39</f>
        <v>1941</v>
      </c>
      <c r="AE39" s="177">
        <f>BS39+BT39</f>
        <v>5809</v>
      </c>
      <c r="AF39" s="177">
        <f>CA39</f>
        <v>703</v>
      </c>
      <c r="AG39" s="177">
        <f>BV39</f>
        <v>2324</v>
      </c>
      <c r="AH39" s="177">
        <f>BZ39</f>
        <v>56</v>
      </c>
      <c r="AI39" s="177" t="str">
        <f>BW39</f>
        <v>-</v>
      </c>
      <c r="AJ39" s="177" t="str">
        <f>BY39</f>
        <v>-</v>
      </c>
      <c r="AK39" s="179">
        <f>CB39</f>
        <v>46</v>
      </c>
      <c r="AL39" s="177" t="str">
        <f>CE39</f>
        <v>-</v>
      </c>
      <c r="AM39" s="177" t="str">
        <f>CH39</f>
        <v>-</v>
      </c>
      <c r="AN39" s="177" t="str">
        <f>CJ39</f>
        <v>-</v>
      </c>
      <c r="AO39" s="177">
        <f t="shared" si="77"/>
        <v>17</v>
      </c>
      <c r="AP39" s="177">
        <f t="shared" si="77"/>
        <v>7</v>
      </c>
      <c r="AQ39" s="177" t="str">
        <f>CK39</f>
        <v>-</v>
      </c>
      <c r="AR39" s="177">
        <f>CI39</f>
        <v>484</v>
      </c>
      <c r="AS39" s="178" t="str">
        <f>CG39</f>
        <v>-</v>
      </c>
      <c r="AT39" s="181">
        <v>369</v>
      </c>
      <c r="AU39" s="181" t="s">
        <v>252</v>
      </c>
      <c r="AV39" s="181">
        <v>133</v>
      </c>
      <c r="AW39" s="177" t="s">
        <v>61</v>
      </c>
      <c r="AX39" s="181">
        <v>1660</v>
      </c>
      <c r="AY39" s="177">
        <v>1054</v>
      </c>
      <c r="AZ39" s="177">
        <v>623</v>
      </c>
      <c r="BA39" s="177">
        <v>5050</v>
      </c>
      <c r="BB39" s="177">
        <v>769</v>
      </c>
      <c r="BC39" s="177" t="s">
        <v>252</v>
      </c>
      <c r="BD39" s="177">
        <v>805</v>
      </c>
      <c r="BE39" s="177" t="s">
        <v>61</v>
      </c>
      <c r="BF39" s="179" t="s">
        <v>61</v>
      </c>
      <c r="BG39" s="177">
        <v>208</v>
      </c>
      <c r="BH39" s="177" t="s">
        <v>252</v>
      </c>
      <c r="BI39" s="177">
        <v>738</v>
      </c>
      <c r="BJ39" s="177">
        <v>349</v>
      </c>
      <c r="BK39" s="177">
        <v>50</v>
      </c>
      <c r="BL39" s="177" t="s">
        <v>61</v>
      </c>
      <c r="BM39" s="177">
        <v>6</v>
      </c>
      <c r="BN39" s="177">
        <v>596</v>
      </c>
      <c r="BO39" s="177" t="s">
        <v>252</v>
      </c>
      <c r="BP39" s="177" t="s">
        <v>61</v>
      </c>
      <c r="BQ39" s="177">
        <v>192</v>
      </c>
      <c r="BR39" s="179" t="s">
        <v>61</v>
      </c>
      <c r="BS39" s="177">
        <v>695</v>
      </c>
      <c r="BT39" s="177">
        <v>5114</v>
      </c>
      <c r="BU39" s="177">
        <v>1941</v>
      </c>
      <c r="BV39" s="177">
        <v>2324</v>
      </c>
      <c r="BW39" s="177" t="s">
        <v>61</v>
      </c>
      <c r="BX39" s="177" t="s">
        <v>61</v>
      </c>
      <c r="BY39" s="177" t="s">
        <v>61</v>
      </c>
      <c r="BZ39" s="177">
        <v>56</v>
      </c>
      <c r="CA39" s="177">
        <v>703</v>
      </c>
      <c r="CB39" s="179">
        <v>46</v>
      </c>
      <c r="CC39" s="177">
        <v>17</v>
      </c>
      <c r="CD39" s="177">
        <v>7</v>
      </c>
      <c r="CE39" s="177" t="s">
        <v>61</v>
      </c>
      <c r="CF39" s="177" t="s">
        <v>61</v>
      </c>
      <c r="CG39" s="177" t="s">
        <v>61</v>
      </c>
      <c r="CH39" s="177" t="s">
        <v>61</v>
      </c>
      <c r="CI39" s="177">
        <v>484</v>
      </c>
      <c r="CJ39" s="177" t="s">
        <v>61</v>
      </c>
      <c r="CK39" s="178" t="s">
        <v>61</v>
      </c>
      <c r="CL39" s="180">
        <v>24002</v>
      </c>
    </row>
    <row r="40" spans="1:90">
      <c r="A40" s="93">
        <f>ROWS($A$3:A38)</f>
        <v>36</v>
      </c>
      <c r="B40" s="67" t="s">
        <v>109</v>
      </c>
      <c r="C40" s="243"/>
      <c r="D40" s="314"/>
      <c r="E40" s="333"/>
      <c r="F40" s="156"/>
      <c r="G40" s="177"/>
      <c r="H40" s="177"/>
      <c r="I40" s="178"/>
      <c r="J40" s="181"/>
      <c r="K40" s="156"/>
      <c r="L40" s="177"/>
      <c r="M40" s="177"/>
      <c r="N40" s="177"/>
      <c r="O40" s="177"/>
      <c r="P40" s="177"/>
      <c r="Q40" s="177"/>
      <c r="R40" s="177"/>
      <c r="S40" s="177"/>
      <c r="T40" s="177"/>
      <c r="U40" s="179"/>
      <c r="V40" s="177"/>
      <c r="W40" s="177"/>
      <c r="X40" s="177"/>
      <c r="Y40" s="177"/>
      <c r="Z40" s="177"/>
      <c r="AA40" s="177"/>
      <c r="AB40" s="179"/>
      <c r="AC40" s="177"/>
      <c r="AD40" s="177"/>
      <c r="AE40" s="177"/>
      <c r="AF40" s="177"/>
      <c r="AG40" s="177"/>
      <c r="AH40" s="177"/>
      <c r="AI40" s="177"/>
      <c r="AJ40" s="177"/>
      <c r="AK40" s="179"/>
      <c r="AL40" s="177"/>
      <c r="AM40" s="177"/>
      <c r="AN40" s="177"/>
      <c r="AO40" s="177"/>
      <c r="AP40" s="177"/>
      <c r="AQ40" s="177"/>
      <c r="AR40" s="177"/>
      <c r="AS40" s="178"/>
      <c r="AT40" s="177"/>
      <c r="AU40" s="177"/>
      <c r="AV40" s="177"/>
      <c r="AW40" s="177"/>
      <c r="AX40" s="177"/>
      <c r="AY40" s="177"/>
      <c r="AZ40" s="177"/>
      <c r="BA40" s="177"/>
      <c r="BB40" s="177"/>
      <c r="BC40" s="177"/>
      <c r="BD40" s="177"/>
      <c r="BE40" s="177"/>
      <c r="BF40" s="179"/>
      <c r="BG40" s="177"/>
      <c r="BH40" s="177"/>
      <c r="BI40" s="177"/>
      <c r="BJ40" s="177"/>
      <c r="BK40" s="177"/>
      <c r="BL40" s="177"/>
      <c r="BM40" s="177"/>
      <c r="BN40" s="177"/>
      <c r="BO40" s="177"/>
      <c r="BP40" s="177"/>
      <c r="BQ40" s="177"/>
      <c r="BR40" s="179"/>
      <c r="BS40" s="177"/>
      <c r="BT40" s="177"/>
      <c r="BU40" s="177"/>
      <c r="BV40" s="177"/>
      <c r="BW40" s="177"/>
      <c r="BX40" s="177"/>
      <c r="BY40" s="177"/>
      <c r="BZ40" s="177"/>
      <c r="CA40" s="177"/>
      <c r="CB40" s="179"/>
      <c r="CC40" s="177"/>
      <c r="CD40" s="177"/>
      <c r="CE40" s="177"/>
      <c r="CF40" s="177"/>
      <c r="CG40" s="177"/>
      <c r="CH40" s="177"/>
      <c r="CI40" s="177"/>
      <c r="CJ40" s="177"/>
      <c r="CK40" s="178"/>
      <c r="CL40" s="180"/>
    </row>
    <row r="41" spans="1:90">
      <c r="A41" s="93">
        <f>ROWS($A$3:A39)</f>
        <v>37</v>
      </c>
      <c r="B41" s="106" t="s">
        <v>78</v>
      </c>
      <c r="C41" s="242">
        <v>2001</v>
      </c>
      <c r="D41" s="314" t="s">
        <v>8</v>
      </c>
      <c r="E41" s="337"/>
      <c r="F41" s="166">
        <v>369529</v>
      </c>
      <c r="G41" s="177">
        <v>103445</v>
      </c>
      <c r="H41" s="177">
        <v>270951</v>
      </c>
      <c r="I41" s="178">
        <v>467741</v>
      </c>
      <c r="J41" s="181"/>
      <c r="K41" s="156">
        <f t="shared" ref="K41:K54" si="78">BF41</f>
        <v>87620</v>
      </c>
      <c r="L41" s="177">
        <f t="shared" ref="L41:L54" si="79">AY41</f>
        <v>26788</v>
      </c>
      <c r="M41" s="177">
        <f t="shared" ref="M41:M54" si="80">BD41</f>
        <v>29645</v>
      </c>
      <c r="N41" s="177">
        <f t="shared" ref="N41:N54" si="81">AW41</f>
        <v>34558</v>
      </c>
      <c r="O41" s="177">
        <f t="shared" ref="O41:O54" si="82">BE41</f>
        <v>26077</v>
      </c>
      <c r="P41" s="177">
        <f>AZ41+BA41</f>
        <v>19100</v>
      </c>
      <c r="Q41" s="177">
        <f>'2001'!AU41</f>
        <v>10506</v>
      </c>
      <c r="R41" s="177">
        <f>AT41+AX41</f>
        <v>19311</v>
      </c>
      <c r="S41" s="177">
        <f t="shared" ref="S41:S54" si="83">AV41</f>
        <v>12514</v>
      </c>
      <c r="T41" s="177">
        <f t="shared" ref="T41:T54" si="84">BB41</f>
        <v>26291</v>
      </c>
      <c r="U41" s="179">
        <f t="shared" ref="U41:U54" si="85">BC41</f>
        <v>77119</v>
      </c>
      <c r="V41" s="177">
        <f>BG41+BJ41</f>
        <v>3562</v>
      </c>
      <c r="W41" s="177">
        <f t="shared" ref="W41:W54" si="86">BR41</f>
        <v>15289</v>
      </c>
      <c r="X41" s="177">
        <f>BH41+BI41</f>
        <v>7988</v>
      </c>
      <c r="Y41" s="177">
        <f>BK41+BL41+BN41</f>
        <v>18282</v>
      </c>
      <c r="Z41" s="177">
        <f t="shared" ref="Z41:Z54" si="87">BM41</f>
        <v>31835</v>
      </c>
      <c r="AA41" s="177">
        <f>BO41+BQ41</f>
        <v>12248</v>
      </c>
      <c r="AB41" s="179">
        <f t="shared" ref="AB41:AB54" si="88">BP41</f>
        <v>14241</v>
      </c>
      <c r="AC41" s="177">
        <f t="shared" ref="AC41:AC54" si="89">BX41</f>
        <v>38892</v>
      </c>
      <c r="AD41" s="177">
        <f t="shared" ref="AD41:AD54" si="90">BU41</f>
        <v>18741</v>
      </c>
      <c r="AE41" s="177">
        <f>BS41+BT41</f>
        <v>36725</v>
      </c>
      <c r="AF41" s="177">
        <f t="shared" ref="AF41:AF54" si="91">CA41</f>
        <v>20109</v>
      </c>
      <c r="AG41" s="177">
        <f t="shared" ref="AG41:AG54" si="92">BV41</f>
        <v>38769</v>
      </c>
      <c r="AH41" s="177">
        <f t="shared" ref="AH41:AH54" si="93">BZ41</f>
        <v>31156</v>
      </c>
      <c r="AI41" s="177">
        <f t="shared" ref="AI41:AI54" si="94">BW41</f>
        <v>24668</v>
      </c>
      <c r="AJ41" s="177">
        <f t="shared" ref="AJ41:AJ54" si="95">BY41</f>
        <v>18487</v>
      </c>
      <c r="AK41" s="179">
        <f t="shared" ref="AK41:AK54" si="96">CB41</f>
        <v>43404</v>
      </c>
      <c r="AL41" s="177">
        <f t="shared" ref="AL41:AL54" si="97">CE41</f>
        <v>14908</v>
      </c>
      <c r="AM41" s="177">
        <f t="shared" ref="AM41:AM54" si="98">CH41</f>
        <v>108899</v>
      </c>
      <c r="AN41" s="177">
        <f t="shared" ref="AN41:AN54" si="99">CJ41</f>
        <v>161200</v>
      </c>
      <c r="AO41" s="177">
        <f t="shared" ref="AO41:AO54" si="100">CC41</f>
        <v>33471</v>
      </c>
      <c r="AP41" s="177">
        <f t="shared" ref="AP41:AP54" si="101">CD41</f>
        <v>7261</v>
      </c>
      <c r="AQ41" s="177">
        <f t="shared" ref="AQ41:AQ54" si="102">CK41</f>
        <v>46318</v>
      </c>
      <c r="AR41" s="177">
        <f t="shared" ref="AR41:AR54" si="103">CI41</f>
        <v>30818</v>
      </c>
      <c r="AS41" s="178">
        <f>CF41+CG41</f>
        <v>64866</v>
      </c>
      <c r="AT41" s="156">
        <v>1028</v>
      </c>
      <c r="AU41" s="181">
        <v>10506</v>
      </c>
      <c r="AV41" s="181">
        <v>12514</v>
      </c>
      <c r="AW41" s="181">
        <v>34558</v>
      </c>
      <c r="AX41" s="181">
        <v>18283</v>
      </c>
      <c r="AY41" s="177">
        <v>26788</v>
      </c>
      <c r="AZ41" s="177">
        <v>638</v>
      </c>
      <c r="BA41" s="177">
        <v>18462</v>
      </c>
      <c r="BB41" s="177">
        <v>26291</v>
      </c>
      <c r="BC41" s="177">
        <v>77119</v>
      </c>
      <c r="BD41" s="177">
        <v>29645</v>
      </c>
      <c r="BE41" s="177">
        <v>26077</v>
      </c>
      <c r="BF41" s="179">
        <v>87620</v>
      </c>
      <c r="BG41" s="177">
        <v>221</v>
      </c>
      <c r="BH41" s="177">
        <v>379</v>
      </c>
      <c r="BI41" s="177">
        <v>7609</v>
      </c>
      <c r="BJ41" s="177">
        <v>3341</v>
      </c>
      <c r="BK41" s="177">
        <v>857</v>
      </c>
      <c r="BL41" s="177">
        <v>94</v>
      </c>
      <c r="BM41" s="177">
        <v>31835</v>
      </c>
      <c r="BN41" s="177">
        <v>17331</v>
      </c>
      <c r="BO41" s="177">
        <v>358</v>
      </c>
      <c r="BP41" s="177">
        <v>14241</v>
      </c>
      <c r="BQ41" s="177">
        <v>11890</v>
      </c>
      <c r="BR41" s="179">
        <v>15289</v>
      </c>
      <c r="BS41" s="177">
        <v>781</v>
      </c>
      <c r="BT41" s="177">
        <v>35944</v>
      </c>
      <c r="BU41" s="177">
        <v>18741</v>
      </c>
      <c r="BV41" s="177">
        <v>38769</v>
      </c>
      <c r="BW41" s="177">
        <v>24668</v>
      </c>
      <c r="BX41" s="177">
        <v>38892</v>
      </c>
      <c r="BY41" s="177">
        <v>18487</v>
      </c>
      <c r="BZ41" s="177">
        <v>31156</v>
      </c>
      <c r="CA41" s="177">
        <v>20109</v>
      </c>
      <c r="CB41" s="179">
        <v>43404</v>
      </c>
      <c r="CC41" s="177">
        <v>33471</v>
      </c>
      <c r="CD41" s="177">
        <v>7261</v>
      </c>
      <c r="CE41" s="177">
        <v>14908</v>
      </c>
      <c r="CF41" s="177">
        <v>2984</v>
      </c>
      <c r="CG41" s="177">
        <v>61882</v>
      </c>
      <c r="CH41" s="177">
        <v>108899</v>
      </c>
      <c r="CI41" s="177">
        <v>30818</v>
      </c>
      <c r="CJ41" s="177">
        <v>161200</v>
      </c>
      <c r="CK41" s="178">
        <v>46318</v>
      </c>
      <c r="CL41" s="180">
        <v>1211666</v>
      </c>
    </row>
    <row r="42" spans="1:90">
      <c r="A42" s="93">
        <f>ROWS($A$3:A40)</f>
        <v>38</v>
      </c>
      <c r="B42" s="106" t="s">
        <v>15</v>
      </c>
      <c r="C42" s="243"/>
      <c r="D42" s="314" t="s">
        <v>8</v>
      </c>
      <c r="E42" s="337"/>
      <c r="F42" s="166">
        <v>120592</v>
      </c>
      <c r="G42" s="177">
        <v>30117</v>
      </c>
      <c r="H42" s="177">
        <v>81611</v>
      </c>
      <c r="I42" s="178">
        <v>185905</v>
      </c>
      <c r="J42" s="181"/>
      <c r="K42" s="156">
        <f t="shared" si="78"/>
        <v>28746</v>
      </c>
      <c r="L42" s="177">
        <f t="shared" si="79"/>
        <v>8502</v>
      </c>
      <c r="M42" s="177">
        <f t="shared" si="80"/>
        <v>9365</v>
      </c>
      <c r="N42" s="177">
        <f t="shared" si="81"/>
        <v>12025</v>
      </c>
      <c r="O42" s="177">
        <f t="shared" si="82"/>
        <v>8738</v>
      </c>
      <c r="P42" s="177">
        <f>AZ42+BA42</f>
        <v>6476</v>
      </c>
      <c r="Q42" s="177">
        <f>'2001'!AU42</f>
        <v>3554</v>
      </c>
      <c r="R42" s="177">
        <f>AT42+AX42</f>
        <v>6233</v>
      </c>
      <c r="S42" s="177">
        <f t="shared" si="83"/>
        <v>3546</v>
      </c>
      <c r="T42" s="177">
        <f t="shared" si="84"/>
        <v>8815</v>
      </c>
      <c r="U42" s="179">
        <f t="shared" si="85"/>
        <v>24592</v>
      </c>
      <c r="V42" s="177">
        <f>BJ42</f>
        <v>718</v>
      </c>
      <c r="W42" s="177">
        <f t="shared" si="86"/>
        <v>4742</v>
      </c>
      <c r="X42" s="177">
        <f>BI42</f>
        <v>1927</v>
      </c>
      <c r="Y42" s="177">
        <f>BK42+BL42+BN42</f>
        <v>5134</v>
      </c>
      <c r="Z42" s="177">
        <f t="shared" si="87"/>
        <v>9713</v>
      </c>
      <c r="AA42" s="177">
        <f>BO42+BQ42</f>
        <v>3333</v>
      </c>
      <c r="AB42" s="179">
        <f t="shared" si="88"/>
        <v>4447</v>
      </c>
      <c r="AC42" s="177">
        <f t="shared" si="89"/>
        <v>13715</v>
      </c>
      <c r="AD42" s="177">
        <f t="shared" si="90"/>
        <v>4542</v>
      </c>
      <c r="AE42" s="177">
        <f>BS42+BT42</f>
        <v>12533</v>
      </c>
      <c r="AF42" s="177">
        <f t="shared" si="91"/>
        <v>4989</v>
      </c>
      <c r="AG42" s="177">
        <f t="shared" si="92"/>
        <v>11179</v>
      </c>
      <c r="AH42" s="177">
        <f t="shared" si="93"/>
        <v>10347</v>
      </c>
      <c r="AI42" s="177">
        <f t="shared" si="94"/>
        <v>6827</v>
      </c>
      <c r="AJ42" s="177">
        <f t="shared" si="95"/>
        <v>5658</v>
      </c>
      <c r="AK42" s="179">
        <f t="shared" si="96"/>
        <v>11821</v>
      </c>
      <c r="AL42" s="177">
        <f t="shared" si="97"/>
        <v>3685</v>
      </c>
      <c r="AM42" s="177">
        <f t="shared" si="98"/>
        <v>39896</v>
      </c>
      <c r="AN42" s="177">
        <f t="shared" si="99"/>
        <v>77839</v>
      </c>
      <c r="AO42" s="177">
        <f t="shared" si="100"/>
        <v>10364</v>
      </c>
      <c r="AP42" s="177">
        <f t="shared" si="101"/>
        <v>2187</v>
      </c>
      <c r="AQ42" s="177">
        <f t="shared" si="102"/>
        <v>15843</v>
      </c>
      <c r="AR42" s="177">
        <f t="shared" si="103"/>
        <v>13123</v>
      </c>
      <c r="AS42" s="178">
        <f>CF42+CG42</f>
        <v>22968</v>
      </c>
      <c r="AT42" s="156">
        <v>492</v>
      </c>
      <c r="AU42" s="181">
        <v>3554</v>
      </c>
      <c r="AV42" s="181">
        <v>3546</v>
      </c>
      <c r="AW42" s="181">
        <v>12025</v>
      </c>
      <c r="AX42" s="181">
        <v>5741</v>
      </c>
      <c r="AY42" s="177">
        <v>8502</v>
      </c>
      <c r="AZ42" s="177">
        <v>232</v>
      </c>
      <c r="BA42" s="177">
        <v>6244</v>
      </c>
      <c r="BB42" s="177">
        <v>8815</v>
      </c>
      <c r="BC42" s="177">
        <v>24592</v>
      </c>
      <c r="BD42" s="177">
        <v>9365</v>
      </c>
      <c r="BE42" s="177">
        <v>8738</v>
      </c>
      <c r="BF42" s="179">
        <v>28746</v>
      </c>
      <c r="BG42" s="177">
        <v>9</v>
      </c>
      <c r="BH42" s="177">
        <v>94</v>
      </c>
      <c r="BI42" s="177">
        <v>1927</v>
      </c>
      <c r="BJ42" s="177">
        <v>718</v>
      </c>
      <c r="BK42" s="177">
        <v>249</v>
      </c>
      <c r="BL42" s="177">
        <v>39</v>
      </c>
      <c r="BM42" s="177">
        <v>9713</v>
      </c>
      <c r="BN42" s="177">
        <v>4846</v>
      </c>
      <c r="BO42" s="177">
        <v>106</v>
      </c>
      <c r="BP42" s="177">
        <v>4447</v>
      </c>
      <c r="BQ42" s="177">
        <v>3227</v>
      </c>
      <c r="BR42" s="179">
        <v>4742</v>
      </c>
      <c r="BS42" s="177">
        <v>145</v>
      </c>
      <c r="BT42" s="177">
        <v>12388</v>
      </c>
      <c r="BU42" s="177">
        <v>4542</v>
      </c>
      <c r="BV42" s="177">
        <v>11179</v>
      </c>
      <c r="BW42" s="177">
        <v>6827</v>
      </c>
      <c r="BX42" s="177">
        <v>13715</v>
      </c>
      <c r="BY42" s="177">
        <v>5658</v>
      </c>
      <c r="BZ42" s="177">
        <v>10347</v>
      </c>
      <c r="CA42" s="177">
        <v>4989</v>
      </c>
      <c r="CB42" s="179">
        <v>11821</v>
      </c>
      <c r="CC42" s="177">
        <v>10364</v>
      </c>
      <c r="CD42" s="177">
        <v>2187</v>
      </c>
      <c r="CE42" s="177">
        <v>3685</v>
      </c>
      <c r="CF42" s="177">
        <v>995</v>
      </c>
      <c r="CG42" s="177">
        <v>21973</v>
      </c>
      <c r="CH42" s="177">
        <v>39896</v>
      </c>
      <c r="CI42" s="177">
        <v>13123</v>
      </c>
      <c r="CJ42" s="177">
        <v>77839</v>
      </c>
      <c r="CK42" s="178">
        <v>15843</v>
      </c>
      <c r="CL42" s="180">
        <v>418225</v>
      </c>
    </row>
    <row r="43" spans="1:90">
      <c r="A43" s="93">
        <f>ROWS($A$3:A41)</f>
        <v>39</v>
      </c>
      <c r="B43" s="106" t="s">
        <v>253</v>
      </c>
      <c r="C43" s="243"/>
      <c r="D43" s="314" t="s">
        <v>8</v>
      </c>
      <c r="E43" s="337"/>
      <c r="F43" s="166">
        <v>17670</v>
      </c>
      <c r="G43" s="177">
        <v>8259</v>
      </c>
      <c r="H43" s="177">
        <v>26057</v>
      </c>
      <c r="I43" s="178">
        <v>13337</v>
      </c>
      <c r="J43" s="181"/>
      <c r="K43" s="156">
        <f t="shared" si="78"/>
        <v>4521</v>
      </c>
      <c r="L43" s="177">
        <f t="shared" si="79"/>
        <v>1838</v>
      </c>
      <c r="M43" s="177">
        <f t="shared" si="80"/>
        <v>1029</v>
      </c>
      <c r="N43" s="177">
        <f t="shared" si="81"/>
        <v>1762</v>
      </c>
      <c r="O43" s="177">
        <f t="shared" si="82"/>
        <v>686</v>
      </c>
      <c r="P43" s="177">
        <f>BA43</f>
        <v>675</v>
      </c>
      <c r="Q43" s="177">
        <f>'2001'!AU43</f>
        <v>640</v>
      </c>
      <c r="R43" s="177">
        <f>AT43+AX43</f>
        <v>323</v>
      </c>
      <c r="S43" s="177">
        <f t="shared" si="83"/>
        <v>1047</v>
      </c>
      <c r="T43" s="177">
        <f t="shared" si="84"/>
        <v>1311</v>
      </c>
      <c r="U43" s="179">
        <f t="shared" si="85"/>
        <v>3809</v>
      </c>
      <c r="V43" s="177">
        <f>BG43+BJ43</f>
        <v>556</v>
      </c>
      <c r="W43" s="177">
        <f t="shared" si="86"/>
        <v>1318</v>
      </c>
      <c r="X43" s="177">
        <f>BI43</f>
        <v>719</v>
      </c>
      <c r="Y43" s="177">
        <f>BN43</f>
        <v>1415</v>
      </c>
      <c r="Z43" s="177">
        <f t="shared" si="87"/>
        <v>1723</v>
      </c>
      <c r="AA43" s="177">
        <f>BQ43</f>
        <v>1044</v>
      </c>
      <c r="AB43" s="179">
        <f t="shared" si="88"/>
        <v>1292</v>
      </c>
      <c r="AC43" s="177">
        <f t="shared" si="89"/>
        <v>2742</v>
      </c>
      <c r="AD43" s="177">
        <f t="shared" si="90"/>
        <v>2787</v>
      </c>
      <c r="AE43" s="177">
        <f>BS43+BT43</f>
        <v>3607</v>
      </c>
      <c r="AF43" s="177">
        <f t="shared" si="91"/>
        <v>2671</v>
      </c>
      <c r="AG43" s="177">
        <f t="shared" si="92"/>
        <v>4498</v>
      </c>
      <c r="AH43" s="177">
        <f t="shared" si="93"/>
        <v>1383</v>
      </c>
      <c r="AI43" s="177">
        <f t="shared" si="94"/>
        <v>2140</v>
      </c>
      <c r="AJ43" s="177">
        <f t="shared" si="95"/>
        <v>1541</v>
      </c>
      <c r="AK43" s="179">
        <f t="shared" si="96"/>
        <v>4688</v>
      </c>
      <c r="AL43" s="177">
        <f t="shared" si="97"/>
        <v>1763</v>
      </c>
      <c r="AM43" s="177">
        <f t="shared" si="98"/>
        <v>2143</v>
      </c>
      <c r="AN43" s="177">
        <f t="shared" si="99"/>
        <v>1983</v>
      </c>
      <c r="AO43" s="177">
        <f t="shared" si="100"/>
        <v>1579</v>
      </c>
      <c r="AP43" s="177">
        <f t="shared" si="101"/>
        <v>501</v>
      </c>
      <c r="AQ43" s="177">
        <f t="shared" si="102"/>
        <v>2494</v>
      </c>
      <c r="AR43" s="177">
        <f t="shared" si="103"/>
        <v>1100</v>
      </c>
      <c r="AS43" s="178">
        <f>CG43</f>
        <v>1746</v>
      </c>
      <c r="AT43" s="156">
        <v>11</v>
      </c>
      <c r="AU43" s="181">
        <v>640</v>
      </c>
      <c r="AV43" s="181">
        <v>1047</v>
      </c>
      <c r="AW43" s="181">
        <v>1762</v>
      </c>
      <c r="AX43" s="181">
        <v>312</v>
      </c>
      <c r="AY43" s="177">
        <v>1838</v>
      </c>
      <c r="AZ43" s="177">
        <v>29</v>
      </c>
      <c r="BA43" s="177">
        <v>675</v>
      </c>
      <c r="BB43" s="177">
        <v>1311</v>
      </c>
      <c r="BC43" s="177">
        <v>3809</v>
      </c>
      <c r="BD43" s="177">
        <v>1029</v>
      </c>
      <c r="BE43" s="177">
        <v>686</v>
      </c>
      <c r="BF43" s="179">
        <v>4521</v>
      </c>
      <c r="BG43" s="177">
        <v>76</v>
      </c>
      <c r="BH43" s="177">
        <v>22</v>
      </c>
      <c r="BI43" s="177">
        <v>719</v>
      </c>
      <c r="BJ43" s="177">
        <v>480</v>
      </c>
      <c r="BK43" s="177">
        <v>123</v>
      </c>
      <c r="BL43" s="177" t="s">
        <v>252</v>
      </c>
      <c r="BM43" s="177">
        <v>1723</v>
      </c>
      <c r="BN43" s="177">
        <v>1415</v>
      </c>
      <c r="BO43" s="177" t="s">
        <v>252</v>
      </c>
      <c r="BP43" s="177">
        <v>1292</v>
      </c>
      <c r="BQ43" s="177">
        <v>1044</v>
      </c>
      <c r="BR43" s="179">
        <v>1318</v>
      </c>
      <c r="BS43" s="177">
        <v>80</v>
      </c>
      <c r="BT43" s="177">
        <v>3527</v>
      </c>
      <c r="BU43" s="177">
        <v>2787</v>
      </c>
      <c r="BV43" s="177">
        <v>4498</v>
      </c>
      <c r="BW43" s="177">
        <v>2140</v>
      </c>
      <c r="BX43" s="177">
        <v>2742</v>
      </c>
      <c r="BY43" s="177">
        <v>1541</v>
      </c>
      <c r="BZ43" s="177">
        <v>1383</v>
      </c>
      <c r="CA43" s="177">
        <v>2671</v>
      </c>
      <c r="CB43" s="179">
        <v>4688</v>
      </c>
      <c r="CC43" s="177">
        <v>1579</v>
      </c>
      <c r="CD43" s="177">
        <v>501</v>
      </c>
      <c r="CE43" s="177">
        <v>1763</v>
      </c>
      <c r="CF43" s="177">
        <v>28</v>
      </c>
      <c r="CG43" s="177">
        <v>1746</v>
      </c>
      <c r="CH43" s="177">
        <v>2143</v>
      </c>
      <c r="CI43" s="177">
        <v>1100</v>
      </c>
      <c r="CJ43" s="177">
        <v>1983</v>
      </c>
      <c r="CK43" s="178">
        <v>2494</v>
      </c>
      <c r="CL43" s="180">
        <v>65323</v>
      </c>
    </row>
    <row r="44" spans="1:90">
      <c r="A44" s="93">
        <f>ROWS($A$3:A42)</f>
        <v>40</v>
      </c>
      <c r="B44" s="62" t="s">
        <v>21</v>
      </c>
      <c r="C44" s="312"/>
      <c r="D44" s="314" t="s">
        <v>260</v>
      </c>
      <c r="E44" s="337"/>
      <c r="F44" s="166">
        <v>21.9</v>
      </c>
      <c r="G44" s="177">
        <v>21.5</v>
      </c>
      <c r="H44" s="177">
        <v>16.399999999999999</v>
      </c>
      <c r="I44" s="178">
        <v>28</v>
      </c>
      <c r="J44" s="181"/>
      <c r="K44" s="156">
        <f t="shared" si="78"/>
        <v>22.9</v>
      </c>
      <c r="L44" s="177">
        <f t="shared" si="79"/>
        <v>18.399999999999999</v>
      </c>
      <c r="M44" s="177">
        <f t="shared" si="80"/>
        <v>18.399999999999999</v>
      </c>
      <c r="N44" s="177">
        <f t="shared" si="81"/>
        <v>25.5</v>
      </c>
      <c r="O44" s="177">
        <f t="shared" si="82"/>
        <v>26.7</v>
      </c>
      <c r="P44" s="183">
        <f>(AZ42*AZ44+BA42*BA44)/P42</f>
        <v>22.910129709697348</v>
      </c>
      <c r="Q44" s="177">
        <f>'2001'!AU44</f>
        <v>21.9</v>
      </c>
      <c r="R44" s="183">
        <f>(AT42*AT44+AX42*AX44)/R42</f>
        <v>22.860484517888658</v>
      </c>
      <c r="S44" s="177">
        <f t="shared" si="83"/>
        <v>18.7</v>
      </c>
      <c r="T44" s="177">
        <f t="shared" si="84"/>
        <v>21.1</v>
      </c>
      <c r="U44" s="179">
        <f t="shared" si="85"/>
        <v>21.3</v>
      </c>
      <c r="V44" s="183">
        <f>(BJ42*BJ44)/V42</f>
        <v>18</v>
      </c>
      <c r="W44" s="177">
        <f t="shared" si="86"/>
        <v>15.8</v>
      </c>
      <c r="X44" s="183">
        <f>(BI42*BI44)/X42</f>
        <v>24.4</v>
      </c>
      <c r="Y44" s="183">
        <f>(BK42*BK44+BN42*BN44)/Y42</f>
        <v>25.696162835995327</v>
      </c>
      <c r="Z44" s="177">
        <f t="shared" si="87"/>
        <v>25.4</v>
      </c>
      <c r="AA44" s="183">
        <f>(BQ42*BQ44)/AA42</f>
        <v>26.915871587158719</v>
      </c>
      <c r="AB44" s="179">
        <f t="shared" si="88"/>
        <v>16.3</v>
      </c>
      <c r="AC44" s="177">
        <f t="shared" si="89"/>
        <v>19.5</v>
      </c>
      <c r="AD44" s="177">
        <f t="shared" si="90"/>
        <v>12</v>
      </c>
      <c r="AE44" s="183">
        <f>(BS42*BS44+BT42*BT44)/AE42</f>
        <v>17.79124710763584</v>
      </c>
      <c r="AF44" s="177">
        <f t="shared" si="91"/>
        <v>13.2</v>
      </c>
      <c r="AG44" s="177">
        <f t="shared" si="92"/>
        <v>10.5</v>
      </c>
      <c r="AH44" s="177">
        <f t="shared" si="93"/>
        <v>28</v>
      </c>
      <c r="AI44" s="177">
        <f t="shared" si="94"/>
        <v>14.2</v>
      </c>
      <c r="AJ44" s="177">
        <f t="shared" si="95"/>
        <v>25.8</v>
      </c>
      <c r="AK44" s="179">
        <f t="shared" si="96"/>
        <v>17.7</v>
      </c>
      <c r="AL44" s="177">
        <f t="shared" si="97"/>
        <v>26</v>
      </c>
      <c r="AM44" s="177">
        <f t="shared" si="98"/>
        <v>29.3</v>
      </c>
      <c r="AN44" s="177">
        <f t="shared" si="99"/>
        <v>33.6</v>
      </c>
      <c r="AO44" s="177">
        <f t="shared" si="100"/>
        <v>21.7</v>
      </c>
      <c r="AP44" s="177">
        <f t="shared" si="101"/>
        <v>18.5</v>
      </c>
      <c r="AQ44" s="177">
        <f t="shared" si="102"/>
        <v>23.1</v>
      </c>
      <c r="AR44" s="177">
        <f t="shared" si="103"/>
        <v>24.3</v>
      </c>
      <c r="AS44" s="184">
        <f>(CF42*CF44+CG42*CG44)/AS42</f>
        <v>22.986642284918144</v>
      </c>
      <c r="AT44" s="156">
        <v>25.9</v>
      </c>
      <c r="AU44" s="177">
        <v>21.9</v>
      </c>
      <c r="AV44" s="177">
        <v>18.7</v>
      </c>
      <c r="AW44" s="177">
        <v>25.5</v>
      </c>
      <c r="AX44" s="177">
        <v>22.6</v>
      </c>
      <c r="AY44" s="177">
        <v>18.399999999999999</v>
      </c>
      <c r="AZ44" s="177">
        <v>17.8</v>
      </c>
      <c r="BA44" s="177">
        <v>23.1</v>
      </c>
      <c r="BB44" s="177">
        <v>21.1</v>
      </c>
      <c r="BC44" s="177">
        <v>21.3</v>
      </c>
      <c r="BD44" s="177">
        <v>18.399999999999999</v>
      </c>
      <c r="BE44" s="177">
        <v>26.7</v>
      </c>
      <c r="BF44" s="179">
        <v>22.9</v>
      </c>
      <c r="BG44" s="177">
        <v>1.8</v>
      </c>
      <c r="BH44" s="177">
        <v>18.8</v>
      </c>
      <c r="BI44" s="177">
        <v>24.4</v>
      </c>
      <c r="BJ44" s="177">
        <v>18</v>
      </c>
      <c r="BK44" s="177">
        <v>27.7</v>
      </c>
      <c r="BL44" s="177">
        <v>13</v>
      </c>
      <c r="BM44" s="177">
        <v>25.4</v>
      </c>
      <c r="BN44" s="177">
        <v>25.8</v>
      </c>
      <c r="BO44" s="177">
        <v>35.299999999999997</v>
      </c>
      <c r="BP44" s="177">
        <v>16.3</v>
      </c>
      <c r="BQ44" s="177">
        <v>27.8</v>
      </c>
      <c r="BR44" s="179">
        <v>15.8</v>
      </c>
      <c r="BS44" s="177">
        <v>8.5</v>
      </c>
      <c r="BT44" s="177">
        <v>17.899999999999999</v>
      </c>
      <c r="BU44" s="177">
        <v>12</v>
      </c>
      <c r="BV44" s="177">
        <v>10.5</v>
      </c>
      <c r="BW44" s="177">
        <v>14.2</v>
      </c>
      <c r="BX44" s="177">
        <v>19.5</v>
      </c>
      <c r="BY44" s="177">
        <v>25.8</v>
      </c>
      <c r="BZ44" s="177">
        <v>28</v>
      </c>
      <c r="CA44" s="177">
        <v>13.2</v>
      </c>
      <c r="CB44" s="179">
        <v>17.7</v>
      </c>
      <c r="CC44" s="177">
        <v>21.7</v>
      </c>
      <c r="CD44" s="177">
        <v>18.5</v>
      </c>
      <c r="CE44" s="177">
        <v>26</v>
      </c>
      <c r="CF44" s="177">
        <v>24.9</v>
      </c>
      <c r="CG44" s="177">
        <v>22.9</v>
      </c>
      <c r="CH44" s="177">
        <v>29.3</v>
      </c>
      <c r="CI44" s="177">
        <v>24.3</v>
      </c>
      <c r="CJ44" s="177">
        <v>33.6</v>
      </c>
      <c r="CK44" s="178">
        <v>23.1</v>
      </c>
      <c r="CL44" s="180">
        <v>22.6</v>
      </c>
    </row>
    <row r="45" spans="1:90">
      <c r="A45" s="93">
        <f>ROWS($A$3:A43)</f>
        <v>41</v>
      </c>
      <c r="B45" s="106" t="s">
        <v>79</v>
      </c>
      <c r="C45" s="312"/>
      <c r="D45" s="314" t="s">
        <v>8</v>
      </c>
      <c r="E45" s="337"/>
      <c r="F45" s="166">
        <v>1192436</v>
      </c>
      <c r="G45" s="177">
        <v>143302</v>
      </c>
      <c r="H45" s="177">
        <v>208389</v>
      </c>
      <c r="I45" s="178">
        <v>770357</v>
      </c>
      <c r="J45" s="181"/>
      <c r="K45" s="156">
        <f t="shared" si="78"/>
        <v>130510</v>
      </c>
      <c r="L45" s="177">
        <f t="shared" si="79"/>
        <v>24013</v>
      </c>
      <c r="M45" s="177">
        <f t="shared" si="80"/>
        <v>150023</v>
      </c>
      <c r="N45" s="177">
        <f t="shared" si="81"/>
        <v>27833</v>
      </c>
      <c r="O45" s="177">
        <f t="shared" si="82"/>
        <v>54222</v>
      </c>
      <c r="P45" s="177">
        <f>BA45</f>
        <v>46074</v>
      </c>
      <c r="Q45" s="177">
        <f>'2001'!AU45</f>
        <v>22683</v>
      </c>
      <c r="R45" s="177">
        <f>AX45</f>
        <v>45040</v>
      </c>
      <c r="S45" s="177">
        <f t="shared" si="83"/>
        <v>9347</v>
      </c>
      <c r="T45" s="177">
        <f t="shared" si="84"/>
        <v>204629</v>
      </c>
      <c r="U45" s="179">
        <f t="shared" si="85"/>
        <v>475716</v>
      </c>
      <c r="V45" s="177">
        <f>BJ45</f>
        <v>9381</v>
      </c>
      <c r="W45" s="177">
        <f t="shared" si="86"/>
        <v>16387</v>
      </c>
      <c r="X45" s="177">
        <f>BH45+BI45</f>
        <v>16441</v>
      </c>
      <c r="Y45" s="177">
        <f>BK45+BL45+BN45</f>
        <v>39921</v>
      </c>
      <c r="Z45" s="177">
        <f t="shared" si="87"/>
        <v>44848</v>
      </c>
      <c r="AA45" s="177">
        <f>BQ45</f>
        <v>7810</v>
      </c>
      <c r="AB45" s="179">
        <f t="shared" si="88"/>
        <v>7801</v>
      </c>
      <c r="AC45" s="177">
        <f t="shared" si="89"/>
        <v>26900</v>
      </c>
      <c r="AD45" s="177">
        <f t="shared" si="90"/>
        <v>9551</v>
      </c>
      <c r="AE45" s="177">
        <f>BS45+BT45</f>
        <v>15105</v>
      </c>
      <c r="AF45" s="177">
        <f t="shared" si="91"/>
        <v>8106</v>
      </c>
      <c r="AG45" s="177">
        <f t="shared" si="92"/>
        <v>43874</v>
      </c>
      <c r="AH45" s="177">
        <f t="shared" si="93"/>
        <v>25543</v>
      </c>
      <c r="AI45" s="177">
        <f t="shared" si="94"/>
        <v>41477</v>
      </c>
      <c r="AJ45" s="177">
        <f t="shared" si="95"/>
        <v>14725</v>
      </c>
      <c r="AK45" s="179">
        <f t="shared" si="96"/>
        <v>23108</v>
      </c>
      <c r="AL45" s="177">
        <f t="shared" si="97"/>
        <v>14489</v>
      </c>
      <c r="AM45" s="177">
        <f t="shared" si="98"/>
        <v>180601</v>
      </c>
      <c r="AN45" s="177">
        <f t="shared" si="99"/>
        <v>69892</v>
      </c>
      <c r="AO45" s="177">
        <f t="shared" si="100"/>
        <v>39185</v>
      </c>
      <c r="AP45" s="177">
        <f t="shared" si="101"/>
        <v>13693</v>
      </c>
      <c r="AQ45" s="177">
        <f t="shared" si="102"/>
        <v>117850</v>
      </c>
      <c r="AR45" s="177">
        <f t="shared" si="103"/>
        <v>26480</v>
      </c>
      <c r="AS45" s="178">
        <f>CF45+CG45</f>
        <v>308167</v>
      </c>
      <c r="AT45" s="156">
        <v>475</v>
      </c>
      <c r="AU45" s="181">
        <v>22683</v>
      </c>
      <c r="AV45" s="181">
        <v>9347</v>
      </c>
      <c r="AW45" s="181">
        <v>27833</v>
      </c>
      <c r="AX45" s="181">
        <v>45040</v>
      </c>
      <c r="AY45" s="177">
        <v>24013</v>
      </c>
      <c r="AZ45" s="177">
        <v>1871</v>
      </c>
      <c r="BA45" s="177">
        <v>46074</v>
      </c>
      <c r="BB45" s="177">
        <v>204629</v>
      </c>
      <c r="BC45" s="177">
        <v>475716</v>
      </c>
      <c r="BD45" s="177">
        <v>150023</v>
      </c>
      <c r="BE45" s="177">
        <v>54222</v>
      </c>
      <c r="BF45" s="179">
        <v>130510</v>
      </c>
      <c r="BG45" s="177">
        <v>16</v>
      </c>
      <c r="BH45" s="177">
        <v>1484</v>
      </c>
      <c r="BI45" s="177">
        <v>14957</v>
      </c>
      <c r="BJ45" s="177">
        <v>9381</v>
      </c>
      <c r="BK45" s="177">
        <v>1487</v>
      </c>
      <c r="BL45" s="177">
        <v>2000</v>
      </c>
      <c r="BM45" s="177">
        <v>44848</v>
      </c>
      <c r="BN45" s="177">
        <v>36434</v>
      </c>
      <c r="BO45" s="177">
        <v>697</v>
      </c>
      <c r="BP45" s="177">
        <v>7801</v>
      </c>
      <c r="BQ45" s="177">
        <v>7810</v>
      </c>
      <c r="BR45" s="179">
        <v>16387</v>
      </c>
      <c r="BS45" s="177">
        <v>793</v>
      </c>
      <c r="BT45" s="177">
        <v>14312</v>
      </c>
      <c r="BU45" s="177">
        <v>9551</v>
      </c>
      <c r="BV45" s="177">
        <v>43874</v>
      </c>
      <c r="BW45" s="177">
        <v>41477</v>
      </c>
      <c r="BX45" s="177">
        <v>26900</v>
      </c>
      <c r="BY45" s="177">
        <v>14725</v>
      </c>
      <c r="BZ45" s="177">
        <v>25543</v>
      </c>
      <c r="CA45" s="177">
        <v>8106</v>
      </c>
      <c r="CB45" s="179">
        <v>23108</v>
      </c>
      <c r="CC45" s="177">
        <v>39185</v>
      </c>
      <c r="CD45" s="177">
        <v>13693</v>
      </c>
      <c r="CE45" s="177">
        <v>14489</v>
      </c>
      <c r="CF45" s="177">
        <v>19402</v>
      </c>
      <c r="CG45" s="177">
        <v>288765</v>
      </c>
      <c r="CH45" s="177">
        <v>180601</v>
      </c>
      <c r="CI45" s="177">
        <v>26480</v>
      </c>
      <c r="CJ45" s="177">
        <v>69892</v>
      </c>
      <c r="CK45" s="178">
        <v>117850</v>
      </c>
      <c r="CL45" s="180">
        <v>2314484</v>
      </c>
    </row>
    <row r="46" spans="1:90">
      <c r="A46" s="93">
        <f>ROWS($A$3:A44)</f>
        <v>42</v>
      </c>
      <c r="B46" s="106" t="s">
        <v>9</v>
      </c>
      <c r="C46" s="312"/>
      <c r="D46" s="314" t="s">
        <v>8</v>
      </c>
      <c r="E46" s="337"/>
      <c r="F46" s="166">
        <v>180184</v>
      </c>
      <c r="G46" s="177">
        <v>14434</v>
      </c>
      <c r="H46" s="177">
        <v>19624</v>
      </c>
      <c r="I46" s="178">
        <v>96624</v>
      </c>
      <c r="J46" s="181"/>
      <c r="K46" s="156">
        <f t="shared" si="78"/>
        <v>21942</v>
      </c>
      <c r="L46" s="177">
        <f t="shared" si="79"/>
        <v>2121</v>
      </c>
      <c r="M46" s="177">
        <f t="shared" si="80"/>
        <v>26570</v>
      </c>
      <c r="N46" s="177">
        <f t="shared" si="81"/>
        <v>2216</v>
      </c>
      <c r="O46" s="177">
        <f t="shared" si="82"/>
        <v>5864</v>
      </c>
      <c r="P46" s="177">
        <f>BA46</f>
        <v>5004</v>
      </c>
      <c r="Q46" s="177">
        <f>'2001'!AU46</f>
        <v>2625</v>
      </c>
      <c r="R46" s="177">
        <f>AX46</f>
        <v>4033</v>
      </c>
      <c r="S46" s="177">
        <f t="shared" si="83"/>
        <v>509</v>
      </c>
      <c r="T46" s="177">
        <f t="shared" si="84"/>
        <v>32949</v>
      </c>
      <c r="U46" s="179">
        <f t="shared" si="85"/>
        <v>76117</v>
      </c>
      <c r="V46" s="177">
        <f>BJ46</f>
        <v>701</v>
      </c>
      <c r="W46" s="177">
        <f t="shared" si="86"/>
        <v>1929</v>
      </c>
      <c r="X46" s="177">
        <f>BI46</f>
        <v>1744</v>
      </c>
      <c r="Y46" s="177">
        <f>BN46</f>
        <v>4230</v>
      </c>
      <c r="Z46" s="177">
        <f t="shared" si="87"/>
        <v>4532</v>
      </c>
      <c r="AA46" s="177">
        <f>BQ46</f>
        <v>389</v>
      </c>
      <c r="AB46" s="179">
        <f t="shared" si="88"/>
        <v>643</v>
      </c>
      <c r="AC46" s="177">
        <f t="shared" si="89"/>
        <v>2508</v>
      </c>
      <c r="AD46" s="177">
        <f t="shared" si="90"/>
        <v>813</v>
      </c>
      <c r="AE46" s="177">
        <f>BT46</f>
        <v>1356</v>
      </c>
      <c r="AF46" s="177" t="str">
        <f t="shared" si="91"/>
        <v>*</v>
      </c>
      <c r="AG46" s="177">
        <f t="shared" si="92"/>
        <v>4744</v>
      </c>
      <c r="AH46" s="177">
        <f t="shared" si="93"/>
        <v>1779</v>
      </c>
      <c r="AI46" s="177">
        <f t="shared" si="94"/>
        <v>4596</v>
      </c>
      <c r="AJ46" s="177">
        <f t="shared" si="95"/>
        <v>992</v>
      </c>
      <c r="AK46" s="179">
        <f t="shared" si="96"/>
        <v>2239</v>
      </c>
      <c r="AL46" s="177">
        <f t="shared" si="97"/>
        <v>568</v>
      </c>
      <c r="AM46" s="177">
        <f t="shared" si="98"/>
        <v>23787</v>
      </c>
      <c r="AN46" s="177">
        <f t="shared" si="99"/>
        <v>10243</v>
      </c>
      <c r="AO46" s="177">
        <f t="shared" si="100"/>
        <v>5434</v>
      </c>
      <c r="AP46" s="177">
        <f t="shared" si="101"/>
        <v>1204</v>
      </c>
      <c r="AQ46" s="177">
        <f t="shared" si="102"/>
        <v>15203</v>
      </c>
      <c r="AR46" s="177">
        <f t="shared" si="103"/>
        <v>2068</v>
      </c>
      <c r="AS46" s="178">
        <f>CF46+CG46</f>
        <v>38117</v>
      </c>
      <c r="AT46" s="156" t="s">
        <v>252</v>
      </c>
      <c r="AU46" s="181">
        <v>2625</v>
      </c>
      <c r="AV46" s="181">
        <v>509</v>
      </c>
      <c r="AW46" s="181">
        <v>2216</v>
      </c>
      <c r="AX46" s="181">
        <v>4033</v>
      </c>
      <c r="AY46" s="177">
        <v>2121</v>
      </c>
      <c r="AZ46" s="177" t="s">
        <v>252</v>
      </c>
      <c r="BA46" s="177">
        <v>5004</v>
      </c>
      <c r="BB46" s="177">
        <v>32949</v>
      </c>
      <c r="BC46" s="177">
        <v>76117</v>
      </c>
      <c r="BD46" s="177">
        <v>26570</v>
      </c>
      <c r="BE46" s="177">
        <v>5864</v>
      </c>
      <c r="BF46" s="179">
        <v>21942</v>
      </c>
      <c r="BG46" s="177" t="s">
        <v>252</v>
      </c>
      <c r="BH46" s="177">
        <v>164</v>
      </c>
      <c r="BI46" s="177">
        <v>1744</v>
      </c>
      <c r="BJ46" s="177">
        <v>701</v>
      </c>
      <c r="BK46" s="177" t="s">
        <v>252</v>
      </c>
      <c r="BL46" s="177" t="s">
        <v>252</v>
      </c>
      <c r="BM46" s="177">
        <v>4532</v>
      </c>
      <c r="BN46" s="177">
        <v>4230</v>
      </c>
      <c r="BO46" s="177" t="s">
        <v>252</v>
      </c>
      <c r="BP46" s="177">
        <v>643</v>
      </c>
      <c r="BQ46" s="177">
        <v>389</v>
      </c>
      <c r="BR46" s="179">
        <v>1929</v>
      </c>
      <c r="BS46" s="177" t="s">
        <v>252</v>
      </c>
      <c r="BT46" s="177">
        <v>1356</v>
      </c>
      <c r="BU46" s="177">
        <v>813</v>
      </c>
      <c r="BV46" s="177">
        <v>4744</v>
      </c>
      <c r="BW46" s="177">
        <v>4596</v>
      </c>
      <c r="BX46" s="177">
        <v>2508</v>
      </c>
      <c r="BY46" s="177">
        <v>992</v>
      </c>
      <c r="BZ46" s="177">
        <v>1779</v>
      </c>
      <c r="CA46" s="177" t="s">
        <v>252</v>
      </c>
      <c r="CB46" s="179">
        <v>2239</v>
      </c>
      <c r="CC46" s="177">
        <v>5434</v>
      </c>
      <c r="CD46" s="177">
        <v>1204</v>
      </c>
      <c r="CE46" s="177">
        <v>568</v>
      </c>
      <c r="CF46" s="177">
        <v>1387</v>
      </c>
      <c r="CG46" s="177">
        <v>36730</v>
      </c>
      <c r="CH46" s="177">
        <v>23787</v>
      </c>
      <c r="CI46" s="177">
        <v>2068</v>
      </c>
      <c r="CJ46" s="177">
        <v>10243</v>
      </c>
      <c r="CK46" s="178">
        <v>15203</v>
      </c>
      <c r="CL46" s="180">
        <v>310866</v>
      </c>
    </row>
    <row r="47" spans="1:90">
      <c r="A47" s="93">
        <f>ROWS($A$3:A45)</f>
        <v>43</v>
      </c>
      <c r="B47" s="62" t="s">
        <v>20</v>
      </c>
      <c r="C47" s="312"/>
      <c r="D47" s="314" t="s">
        <v>260</v>
      </c>
      <c r="E47" s="337"/>
      <c r="F47" s="166">
        <f>F126/F125</f>
        <v>80.416243654822338</v>
      </c>
      <c r="G47" s="177">
        <f>G126/G125</f>
        <v>35.141598915989157</v>
      </c>
      <c r="H47" s="177">
        <f>H126/H125</f>
        <v>16.462461807071147</v>
      </c>
      <c r="I47" s="178">
        <f>I126/I125</f>
        <v>63.704922644163148</v>
      </c>
      <c r="J47" s="181"/>
      <c r="K47" s="156">
        <f t="shared" si="78"/>
        <v>37.364760432766616</v>
      </c>
      <c r="L47" s="177">
        <f t="shared" si="79"/>
        <v>32.532520325203251</v>
      </c>
      <c r="M47" s="177">
        <f t="shared" si="80"/>
        <v>56.685483870967744</v>
      </c>
      <c r="N47" s="177">
        <f t="shared" si="81"/>
        <v>50.469387755102041</v>
      </c>
      <c r="O47" s="177">
        <f t="shared" si="82"/>
        <v>83.773584905660371</v>
      </c>
      <c r="P47" s="177">
        <f>BA47</f>
        <v>74.887387387387392</v>
      </c>
      <c r="Q47" s="177">
        <f>'2001'!AU47</f>
        <v>63.89051094890511</v>
      </c>
      <c r="R47" s="183" t="s">
        <v>252</v>
      </c>
      <c r="S47" s="177">
        <f t="shared" si="83"/>
        <v>25.808823529411764</v>
      </c>
      <c r="T47" s="177">
        <f t="shared" si="84"/>
        <v>144.83056478405317</v>
      </c>
      <c r="U47" s="179">
        <f t="shared" si="85"/>
        <v>154.63176265270505</v>
      </c>
      <c r="V47" s="183">
        <f>(BJ45*BJ47)/V45</f>
        <v>43.756410256410255</v>
      </c>
      <c r="W47" s="177">
        <f t="shared" si="86"/>
        <v>22.504347826086956</v>
      </c>
      <c r="X47" s="183">
        <f>(BH45*BH47+BI45*BI47)/X45</f>
        <v>43.630264161360202</v>
      </c>
      <c r="Y47" s="183">
        <f>(BL45*BL47+BN45*BN47)/Y45</f>
        <v>55.776854263246463</v>
      </c>
      <c r="Z47" s="177">
        <f t="shared" si="87"/>
        <v>35.485507246376812</v>
      </c>
      <c r="AA47" s="183">
        <f>(BQ45*BQ47)/AA45</f>
        <v>37.160714285714285</v>
      </c>
      <c r="AB47" s="179">
        <f t="shared" si="88"/>
        <v>14.174672489082969</v>
      </c>
      <c r="AC47" s="177">
        <f t="shared" si="89"/>
        <v>20.017316017316016</v>
      </c>
      <c r="AD47" s="177">
        <f t="shared" si="90"/>
        <v>9.4</v>
      </c>
      <c r="AE47" s="183">
        <f>(BS45*BS47+BT45*BT47)/AE45</f>
        <v>8.684216648559353</v>
      </c>
      <c r="AF47" s="177">
        <f t="shared" si="91"/>
        <v>12.359430604982206</v>
      </c>
      <c r="AG47" s="177">
        <f t="shared" si="92"/>
        <v>11.871627146361407</v>
      </c>
      <c r="AH47" s="177">
        <f t="shared" si="93"/>
        <v>45.450980392156865</v>
      </c>
      <c r="AI47" s="177">
        <f t="shared" si="94"/>
        <v>29.526627218934912</v>
      </c>
      <c r="AJ47" s="177">
        <f t="shared" si="95"/>
        <v>25.477064220183486</v>
      </c>
      <c r="AK47" s="179">
        <f t="shared" si="96"/>
        <v>11.708097928436912</v>
      </c>
      <c r="AL47" s="177">
        <f t="shared" si="97"/>
        <v>30.431372549019606</v>
      </c>
      <c r="AM47" s="177">
        <f t="shared" si="98"/>
        <v>79.597875569044007</v>
      </c>
      <c r="AN47" s="177">
        <f t="shared" si="99"/>
        <v>55.249336870026525</v>
      </c>
      <c r="AO47" s="177">
        <f t="shared" si="100"/>
        <v>24.136460554371002</v>
      </c>
      <c r="AP47" s="177">
        <f t="shared" si="101"/>
        <v>36.523178807947019</v>
      </c>
      <c r="AQ47" s="177">
        <f t="shared" si="102"/>
        <v>54.47987117552335</v>
      </c>
      <c r="AR47" s="177">
        <f t="shared" si="103"/>
        <v>45.385245901639344</v>
      </c>
      <c r="AS47" s="184">
        <f>(CF45*CF47+CG45*CG47)/AS45</f>
        <v>104.72383062341795</v>
      </c>
      <c r="AT47" s="156">
        <f>AT126/AT125</f>
        <v>46.833333333333336</v>
      </c>
      <c r="AU47" s="177">
        <f t="shared" ref="AU47:CL47" si="104">AU126/AU125</f>
        <v>63.89051094890511</v>
      </c>
      <c r="AV47" s="177">
        <f t="shared" si="104"/>
        <v>25.808823529411764</v>
      </c>
      <c r="AW47" s="177">
        <f t="shared" si="104"/>
        <v>50.469387755102041</v>
      </c>
      <c r="AX47" s="177">
        <f t="shared" si="104"/>
        <v>110.3735632183908</v>
      </c>
      <c r="AY47" s="177">
        <f t="shared" si="104"/>
        <v>32.532520325203251</v>
      </c>
      <c r="AZ47" s="177">
        <f t="shared" si="104"/>
        <v>265.33333333333331</v>
      </c>
      <c r="BA47" s="177">
        <f t="shared" si="104"/>
        <v>74.887387387387392</v>
      </c>
      <c r="BB47" s="177">
        <f t="shared" si="104"/>
        <v>144.83056478405317</v>
      </c>
      <c r="BC47" s="177">
        <f t="shared" si="104"/>
        <v>154.63176265270505</v>
      </c>
      <c r="BD47" s="177">
        <f t="shared" si="104"/>
        <v>56.685483870967744</v>
      </c>
      <c r="BE47" s="177">
        <f t="shared" si="104"/>
        <v>83.773584905660371</v>
      </c>
      <c r="BF47" s="179">
        <f t="shared" si="104"/>
        <v>37.364760432766616</v>
      </c>
      <c r="BG47" s="177" t="s">
        <v>252</v>
      </c>
      <c r="BH47" s="177">
        <f t="shared" si="104"/>
        <v>79.25</v>
      </c>
      <c r="BI47" s="177">
        <f t="shared" si="104"/>
        <v>40.096153846153847</v>
      </c>
      <c r="BJ47" s="177">
        <f t="shared" si="104"/>
        <v>43.756410256410255</v>
      </c>
      <c r="BK47" s="177">
        <f t="shared" si="104"/>
        <v>54.466666666666669</v>
      </c>
      <c r="BL47" s="177">
        <f t="shared" si="104"/>
        <v>69.125</v>
      </c>
      <c r="BM47" s="177">
        <f t="shared" si="104"/>
        <v>35.485507246376812</v>
      </c>
      <c r="BN47" s="177">
        <f t="shared" si="104"/>
        <v>57.320574162679428</v>
      </c>
      <c r="BO47" s="177" t="s">
        <v>252</v>
      </c>
      <c r="BP47" s="177">
        <f t="shared" si="104"/>
        <v>14.174672489082969</v>
      </c>
      <c r="BQ47" s="177">
        <f t="shared" si="104"/>
        <v>37.160714285714285</v>
      </c>
      <c r="BR47" s="179">
        <f t="shared" si="104"/>
        <v>22.504347826086956</v>
      </c>
      <c r="BS47" s="177">
        <f t="shared" si="104"/>
        <v>12.772727272727273</v>
      </c>
      <c r="BT47" s="177">
        <f t="shared" si="104"/>
        <v>8.4576802507836994</v>
      </c>
      <c r="BU47" s="177">
        <f t="shared" si="104"/>
        <v>9.4</v>
      </c>
      <c r="BV47" s="177">
        <f t="shared" si="104"/>
        <v>11.871627146361407</v>
      </c>
      <c r="BW47" s="177">
        <f t="shared" si="104"/>
        <v>29.526627218934912</v>
      </c>
      <c r="BX47" s="177">
        <f t="shared" si="104"/>
        <v>20.017316017316016</v>
      </c>
      <c r="BY47" s="177">
        <f t="shared" si="104"/>
        <v>25.477064220183486</v>
      </c>
      <c r="BZ47" s="177">
        <f t="shared" si="104"/>
        <v>45.450980392156865</v>
      </c>
      <c r="CA47" s="177">
        <f t="shared" si="104"/>
        <v>12.359430604982206</v>
      </c>
      <c r="CB47" s="179">
        <f t="shared" si="104"/>
        <v>11.708097928436912</v>
      </c>
      <c r="CC47" s="177">
        <f t="shared" si="104"/>
        <v>24.136460554371002</v>
      </c>
      <c r="CD47" s="177">
        <f t="shared" si="104"/>
        <v>36.523178807947019</v>
      </c>
      <c r="CE47" s="177">
        <f t="shared" si="104"/>
        <v>30.431372549019606</v>
      </c>
      <c r="CF47" s="177">
        <f t="shared" si="104"/>
        <v>201.72222222222223</v>
      </c>
      <c r="CG47" s="177">
        <f t="shared" si="104"/>
        <v>98.206549118387912</v>
      </c>
      <c r="CH47" s="177">
        <f t="shared" si="104"/>
        <v>79.597875569044007</v>
      </c>
      <c r="CI47" s="177">
        <f t="shared" si="104"/>
        <v>45.385245901639344</v>
      </c>
      <c r="CJ47" s="177">
        <f t="shared" si="104"/>
        <v>55.249336870026525</v>
      </c>
      <c r="CK47" s="178">
        <f t="shared" si="104"/>
        <v>54.47987117552335</v>
      </c>
      <c r="CL47" s="180">
        <f t="shared" si="104"/>
        <v>48.07012806665638</v>
      </c>
    </row>
    <row r="48" spans="1:90">
      <c r="A48" s="93">
        <f>ROWS($A$3:A46)</f>
        <v>44</v>
      </c>
      <c r="B48" s="236" t="s">
        <v>258</v>
      </c>
      <c r="C48" s="312"/>
      <c r="D48" s="314" t="s">
        <v>8</v>
      </c>
      <c r="E48" s="337"/>
      <c r="F48" s="166">
        <v>19316</v>
      </c>
      <c r="G48" s="177">
        <v>11688</v>
      </c>
      <c r="H48" s="177">
        <v>13961</v>
      </c>
      <c r="I48" s="178">
        <v>17026</v>
      </c>
      <c r="J48" s="181"/>
      <c r="K48" s="156">
        <f t="shared" si="78"/>
        <v>3205</v>
      </c>
      <c r="L48" s="177">
        <f t="shared" si="79"/>
        <v>1843</v>
      </c>
      <c r="M48" s="177">
        <f t="shared" si="80"/>
        <v>989</v>
      </c>
      <c r="N48" s="177">
        <f t="shared" si="81"/>
        <v>1676</v>
      </c>
      <c r="O48" s="177">
        <f t="shared" si="82"/>
        <v>849</v>
      </c>
      <c r="P48" s="177">
        <f>AZ48+BA48</f>
        <v>1478</v>
      </c>
      <c r="Q48" s="177">
        <f>'2001'!AU48</f>
        <v>2382</v>
      </c>
      <c r="R48" s="177">
        <f>AT48+AX48</f>
        <v>2087</v>
      </c>
      <c r="S48" s="177">
        <f t="shared" si="83"/>
        <v>2139</v>
      </c>
      <c r="T48" s="177">
        <f t="shared" si="84"/>
        <v>982</v>
      </c>
      <c r="U48" s="179">
        <f t="shared" si="85"/>
        <v>1686</v>
      </c>
      <c r="V48" s="177">
        <f>BG48+BJ48</f>
        <v>749</v>
      </c>
      <c r="W48" s="177">
        <f t="shared" si="86"/>
        <v>1027</v>
      </c>
      <c r="X48" s="177">
        <f>BH48+BI48</f>
        <v>2352</v>
      </c>
      <c r="Y48" s="177">
        <f>BK48+BL48+BN48</f>
        <v>3004</v>
      </c>
      <c r="Z48" s="177">
        <f t="shared" si="87"/>
        <v>1724</v>
      </c>
      <c r="AA48" s="177">
        <f>BO48+BQ48</f>
        <v>1613</v>
      </c>
      <c r="AB48" s="179">
        <f t="shared" si="88"/>
        <v>1219</v>
      </c>
      <c r="AC48" s="177">
        <f t="shared" si="89"/>
        <v>1309</v>
      </c>
      <c r="AD48" s="177">
        <f t="shared" si="90"/>
        <v>826</v>
      </c>
      <c r="AE48" s="177">
        <f>BS48+BT48</f>
        <v>2632</v>
      </c>
      <c r="AF48" s="177">
        <f t="shared" si="91"/>
        <v>1597</v>
      </c>
      <c r="AG48" s="177">
        <f t="shared" si="92"/>
        <v>1947</v>
      </c>
      <c r="AH48" s="177">
        <f t="shared" si="93"/>
        <v>1544</v>
      </c>
      <c r="AI48" s="177">
        <f t="shared" si="94"/>
        <v>1124</v>
      </c>
      <c r="AJ48" s="177">
        <f t="shared" si="95"/>
        <v>841</v>
      </c>
      <c r="AK48" s="179">
        <f t="shared" si="96"/>
        <v>2141</v>
      </c>
      <c r="AL48" s="177">
        <f t="shared" si="97"/>
        <v>1692</v>
      </c>
      <c r="AM48" s="177">
        <f t="shared" si="98"/>
        <v>1902</v>
      </c>
      <c r="AN48" s="177">
        <f t="shared" si="99"/>
        <v>3991</v>
      </c>
      <c r="AO48" s="177">
        <f t="shared" si="100"/>
        <v>2635</v>
      </c>
      <c r="AP48" s="177">
        <f t="shared" si="101"/>
        <v>1248</v>
      </c>
      <c r="AQ48" s="177">
        <f t="shared" si="102"/>
        <v>1706</v>
      </c>
      <c r="AR48" s="177">
        <f t="shared" si="103"/>
        <v>1881</v>
      </c>
      <c r="AS48" s="178">
        <f>CF48+CG48</f>
        <v>2151</v>
      </c>
      <c r="AT48" s="156">
        <v>211</v>
      </c>
      <c r="AU48" s="181">
        <v>2382</v>
      </c>
      <c r="AV48" s="181">
        <v>2139</v>
      </c>
      <c r="AW48" s="181">
        <v>1676</v>
      </c>
      <c r="AX48" s="181">
        <v>1876</v>
      </c>
      <c r="AY48" s="177">
        <v>1843</v>
      </c>
      <c r="AZ48" s="177">
        <v>33</v>
      </c>
      <c r="BA48" s="177">
        <v>1445</v>
      </c>
      <c r="BB48" s="177">
        <v>982</v>
      </c>
      <c r="BC48" s="177">
        <v>1686</v>
      </c>
      <c r="BD48" s="177">
        <v>989</v>
      </c>
      <c r="BE48" s="177">
        <v>849</v>
      </c>
      <c r="BF48" s="179">
        <v>3205</v>
      </c>
      <c r="BG48" s="177">
        <v>62</v>
      </c>
      <c r="BH48" s="177">
        <v>205</v>
      </c>
      <c r="BI48" s="177">
        <v>2147</v>
      </c>
      <c r="BJ48" s="177">
        <v>687</v>
      </c>
      <c r="BK48" s="177">
        <v>174</v>
      </c>
      <c r="BL48" s="177">
        <v>444</v>
      </c>
      <c r="BM48" s="177">
        <v>1724</v>
      </c>
      <c r="BN48" s="177">
        <v>2386</v>
      </c>
      <c r="BO48" s="177">
        <v>170</v>
      </c>
      <c r="BP48" s="177">
        <v>1219</v>
      </c>
      <c r="BQ48" s="177">
        <v>1443</v>
      </c>
      <c r="BR48" s="179">
        <v>1027</v>
      </c>
      <c r="BS48" s="177">
        <v>274</v>
      </c>
      <c r="BT48" s="177">
        <v>2358</v>
      </c>
      <c r="BU48" s="177">
        <v>826</v>
      </c>
      <c r="BV48" s="177">
        <v>1947</v>
      </c>
      <c r="BW48" s="177">
        <v>1124</v>
      </c>
      <c r="BX48" s="177">
        <v>1309</v>
      </c>
      <c r="BY48" s="177">
        <v>841</v>
      </c>
      <c r="BZ48" s="177">
        <v>1544</v>
      </c>
      <c r="CA48" s="177">
        <v>1597</v>
      </c>
      <c r="CB48" s="179">
        <v>2141</v>
      </c>
      <c r="CC48" s="177">
        <v>2635</v>
      </c>
      <c r="CD48" s="177">
        <v>1248</v>
      </c>
      <c r="CE48" s="177">
        <v>1692</v>
      </c>
      <c r="CF48" s="177">
        <v>225</v>
      </c>
      <c r="CG48" s="177">
        <v>1926</v>
      </c>
      <c r="CH48" s="177">
        <v>1902</v>
      </c>
      <c r="CI48" s="177">
        <v>1881</v>
      </c>
      <c r="CJ48" s="177">
        <v>3991</v>
      </c>
      <c r="CK48" s="178">
        <v>1706</v>
      </c>
      <c r="CL48" s="180">
        <v>62171</v>
      </c>
    </row>
    <row r="49" spans="1:90">
      <c r="A49" s="93">
        <f>ROWS($A$3:A47)</f>
        <v>45</v>
      </c>
      <c r="B49" s="106" t="s">
        <v>80</v>
      </c>
      <c r="C49" s="312"/>
      <c r="D49" s="314" t="s">
        <v>8</v>
      </c>
      <c r="E49" s="337"/>
      <c r="F49" s="166">
        <v>100023</v>
      </c>
      <c r="G49" s="177">
        <v>46708</v>
      </c>
      <c r="H49" s="177">
        <v>72440</v>
      </c>
      <c r="I49" s="178">
        <v>88604</v>
      </c>
      <c r="J49" s="181"/>
      <c r="K49" s="156">
        <f t="shared" si="78"/>
        <v>11183</v>
      </c>
      <c r="L49" s="177">
        <f t="shared" si="79"/>
        <v>8135</v>
      </c>
      <c r="M49" s="177">
        <f t="shared" si="80"/>
        <v>6269</v>
      </c>
      <c r="N49" s="177">
        <f t="shared" si="81"/>
        <v>12758</v>
      </c>
      <c r="O49" s="177">
        <f t="shared" si="82"/>
        <v>10312</v>
      </c>
      <c r="P49" s="177">
        <f>BA49</f>
        <v>8187</v>
      </c>
      <c r="Q49" s="177">
        <f>'2001'!AU49</f>
        <v>5726</v>
      </c>
      <c r="R49" s="177">
        <f>AX49</f>
        <v>3162</v>
      </c>
      <c r="S49" s="177">
        <f t="shared" si="83"/>
        <v>15697</v>
      </c>
      <c r="T49" s="177">
        <f t="shared" si="84"/>
        <v>7083</v>
      </c>
      <c r="U49" s="179">
        <f t="shared" si="85"/>
        <v>10870</v>
      </c>
      <c r="V49" s="177">
        <f>BG49+BJ49</f>
        <v>6045</v>
      </c>
      <c r="W49" s="177">
        <f t="shared" si="86"/>
        <v>9549</v>
      </c>
      <c r="X49" s="177">
        <f>BI49</f>
        <v>4614</v>
      </c>
      <c r="Y49" s="177">
        <f>BK49+BN49</f>
        <v>7468</v>
      </c>
      <c r="Z49" s="177">
        <f t="shared" si="87"/>
        <v>5499</v>
      </c>
      <c r="AA49" s="177">
        <f>BQ49</f>
        <v>2152</v>
      </c>
      <c r="AB49" s="179">
        <f t="shared" si="88"/>
        <v>9725</v>
      </c>
      <c r="AC49" s="177">
        <f t="shared" si="89"/>
        <v>7651</v>
      </c>
      <c r="AD49" s="177">
        <f t="shared" si="90"/>
        <v>5165</v>
      </c>
      <c r="AE49" s="177">
        <f>BS49+BT49</f>
        <v>12746</v>
      </c>
      <c r="AF49" s="177">
        <f t="shared" si="91"/>
        <v>6112</v>
      </c>
      <c r="AG49" s="177">
        <f t="shared" si="92"/>
        <v>10078</v>
      </c>
      <c r="AH49" s="177">
        <f t="shared" si="93"/>
        <v>7820</v>
      </c>
      <c r="AI49" s="177">
        <f t="shared" si="94"/>
        <v>9302</v>
      </c>
      <c r="AJ49" s="177">
        <f t="shared" si="95"/>
        <v>7095</v>
      </c>
      <c r="AK49" s="179">
        <f t="shared" si="96"/>
        <v>6471</v>
      </c>
      <c r="AL49" s="177">
        <f t="shared" si="97"/>
        <v>17941</v>
      </c>
      <c r="AM49" s="177">
        <f t="shared" si="98"/>
        <v>5577</v>
      </c>
      <c r="AN49" s="177">
        <f t="shared" si="99"/>
        <v>5444</v>
      </c>
      <c r="AO49" s="177">
        <f t="shared" si="100"/>
        <v>26301</v>
      </c>
      <c r="AP49" s="177">
        <f t="shared" si="101"/>
        <v>6548</v>
      </c>
      <c r="AQ49" s="177">
        <f t="shared" si="102"/>
        <v>7292</v>
      </c>
      <c r="AR49" s="177">
        <f t="shared" si="103"/>
        <v>4747</v>
      </c>
      <c r="AS49" s="178">
        <f>CF49+CG49</f>
        <v>14754</v>
      </c>
      <c r="AT49" s="156" t="s">
        <v>252</v>
      </c>
      <c r="AU49" s="177">
        <v>5726</v>
      </c>
      <c r="AV49" s="181">
        <v>15697</v>
      </c>
      <c r="AW49" s="181">
        <v>12758</v>
      </c>
      <c r="AX49" s="181">
        <v>3162</v>
      </c>
      <c r="AY49" s="177">
        <v>8135</v>
      </c>
      <c r="AZ49" s="177" t="s">
        <v>252</v>
      </c>
      <c r="BA49" s="177">
        <v>8187</v>
      </c>
      <c r="BB49" s="177">
        <v>7083</v>
      </c>
      <c r="BC49" s="177">
        <v>10870</v>
      </c>
      <c r="BD49" s="177">
        <v>6269</v>
      </c>
      <c r="BE49" s="177">
        <v>10312</v>
      </c>
      <c r="BF49" s="179">
        <v>11183</v>
      </c>
      <c r="BG49" s="177">
        <v>1989</v>
      </c>
      <c r="BH49" s="177">
        <v>196</v>
      </c>
      <c r="BI49" s="177">
        <v>4614</v>
      </c>
      <c r="BJ49" s="177">
        <v>4056</v>
      </c>
      <c r="BK49" s="177">
        <v>47</v>
      </c>
      <c r="BL49" s="177" t="s">
        <v>252</v>
      </c>
      <c r="BM49" s="177">
        <v>5499</v>
      </c>
      <c r="BN49" s="177">
        <v>7421</v>
      </c>
      <c r="BO49" s="177">
        <v>1460</v>
      </c>
      <c r="BP49" s="177">
        <v>9725</v>
      </c>
      <c r="BQ49" s="177">
        <v>2152</v>
      </c>
      <c r="BR49" s="179">
        <v>9549</v>
      </c>
      <c r="BS49" s="177">
        <v>3900</v>
      </c>
      <c r="BT49" s="177">
        <v>8846</v>
      </c>
      <c r="BU49" s="177">
        <v>5165</v>
      </c>
      <c r="BV49" s="177">
        <v>10078</v>
      </c>
      <c r="BW49" s="177">
        <v>9302</v>
      </c>
      <c r="BX49" s="177">
        <v>7651</v>
      </c>
      <c r="BY49" s="177">
        <v>7095</v>
      </c>
      <c r="BZ49" s="177">
        <v>7820</v>
      </c>
      <c r="CA49" s="177">
        <v>6112</v>
      </c>
      <c r="CB49" s="179">
        <v>6471</v>
      </c>
      <c r="CC49" s="177">
        <v>26301</v>
      </c>
      <c r="CD49" s="177">
        <v>6548</v>
      </c>
      <c r="CE49" s="177">
        <v>17941</v>
      </c>
      <c r="CF49" s="177">
        <v>613</v>
      </c>
      <c r="CG49" s="177">
        <v>14141</v>
      </c>
      <c r="CH49" s="177">
        <v>5577</v>
      </c>
      <c r="CI49" s="177">
        <v>4747</v>
      </c>
      <c r="CJ49" s="177">
        <v>5444</v>
      </c>
      <c r="CK49" s="178">
        <v>7292</v>
      </c>
      <c r="CL49" s="180">
        <v>307775</v>
      </c>
    </row>
    <row r="50" spans="1:90">
      <c r="A50" s="93">
        <f>ROWS($A$3:A48)</f>
        <v>46</v>
      </c>
      <c r="B50" s="106" t="s">
        <v>81</v>
      </c>
      <c r="C50" s="312"/>
      <c r="D50" s="314" t="s">
        <v>22</v>
      </c>
      <c r="E50" s="333"/>
      <c r="F50" s="166">
        <v>87</v>
      </c>
      <c r="G50" s="177">
        <v>52</v>
      </c>
      <c r="H50" s="177">
        <v>70</v>
      </c>
      <c r="I50" s="178">
        <v>103</v>
      </c>
      <c r="J50" s="181"/>
      <c r="K50" s="156">
        <f t="shared" si="78"/>
        <v>117</v>
      </c>
      <c r="L50" s="177">
        <f t="shared" si="79"/>
        <v>91</v>
      </c>
      <c r="M50" s="177">
        <f t="shared" si="80"/>
        <v>54</v>
      </c>
      <c r="N50" s="177">
        <f t="shared" si="81"/>
        <v>107</v>
      </c>
      <c r="O50" s="177">
        <f t="shared" si="82"/>
        <v>96</v>
      </c>
      <c r="P50" s="183">
        <f>(AZ50*AZ35+BA50*BA35)/P35</f>
        <v>37.552474816773199</v>
      </c>
      <c r="Q50" s="177">
        <f>'2001'!AU50</f>
        <v>59</v>
      </c>
      <c r="R50" s="183">
        <f>(AT50*AT35+AX50*AX35)/R35</f>
        <v>59.821964643095399</v>
      </c>
      <c r="S50" s="177">
        <f t="shared" si="83"/>
        <v>65</v>
      </c>
      <c r="T50" s="177">
        <f t="shared" si="84"/>
        <v>101</v>
      </c>
      <c r="U50" s="179">
        <f t="shared" si="85"/>
        <v>134</v>
      </c>
      <c r="V50" s="183">
        <f>(BG50*BG35+BJ50*BJ35)/V35</f>
        <v>29.518622200584225</v>
      </c>
      <c r="W50" s="177">
        <f t="shared" si="86"/>
        <v>72</v>
      </c>
      <c r="X50" s="183">
        <f>(BH50*BH35+BI50*BI35)/X35</f>
        <v>26.064563970733637</v>
      </c>
      <c r="Y50" s="183">
        <f>(BK50*BK35+BL50*BL35+BN50*BN35)/Y35</f>
        <v>50.166567423964821</v>
      </c>
      <c r="Z50" s="177">
        <f t="shared" si="87"/>
        <v>62</v>
      </c>
      <c r="AA50" s="183">
        <f>(BO50*BO35+BQ50*BQ35)/AA35</f>
        <v>56.757231657774952</v>
      </c>
      <c r="AB50" s="179">
        <f t="shared" si="88"/>
        <v>76</v>
      </c>
      <c r="AC50" s="177">
        <f t="shared" si="89"/>
        <v>82</v>
      </c>
      <c r="AD50" s="177">
        <f t="shared" si="90"/>
        <v>66</v>
      </c>
      <c r="AE50" s="183">
        <f>(BS50*BS35+BT50*BT35)/AE35</f>
        <v>59.245489112888762</v>
      </c>
      <c r="AF50" s="177">
        <f t="shared" si="91"/>
        <v>70</v>
      </c>
      <c r="AG50" s="177">
        <f t="shared" si="92"/>
        <v>58</v>
      </c>
      <c r="AH50" s="177">
        <f t="shared" si="93"/>
        <v>77</v>
      </c>
      <c r="AI50" s="177">
        <f t="shared" si="94"/>
        <v>75</v>
      </c>
      <c r="AJ50" s="177">
        <f t="shared" si="95"/>
        <v>64</v>
      </c>
      <c r="AK50" s="179">
        <f t="shared" si="96"/>
        <v>86</v>
      </c>
      <c r="AL50" s="177">
        <f t="shared" si="97"/>
        <v>44</v>
      </c>
      <c r="AM50" s="177">
        <f t="shared" si="98"/>
        <v>127</v>
      </c>
      <c r="AN50" s="177">
        <f t="shared" si="99"/>
        <v>152</v>
      </c>
      <c r="AO50" s="177">
        <f t="shared" si="100"/>
        <v>75</v>
      </c>
      <c r="AP50" s="177">
        <f t="shared" si="101"/>
        <v>43</v>
      </c>
      <c r="AQ50" s="177">
        <f t="shared" si="102"/>
        <v>87</v>
      </c>
      <c r="AR50" s="177">
        <f t="shared" si="103"/>
        <v>82</v>
      </c>
      <c r="AS50" s="184">
        <f>(CF50*CF35+CG50*CG35)/AS35</f>
        <v>102.34502203944939</v>
      </c>
      <c r="AT50" s="156">
        <v>44</v>
      </c>
      <c r="AU50" s="181">
        <v>59</v>
      </c>
      <c r="AV50" s="181">
        <v>65</v>
      </c>
      <c r="AW50" s="181">
        <v>107</v>
      </c>
      <c r="AX50" s="181">
        <v>61</v>
      </c>
      <c r="AY50" s="177">
        <v>91</v>
      </c>
      <c r="AZ50" s="177">
        <v>20</v>
      </c>
      <c r="BA50" s="177">
        <v>39</v>
      </c>
      <c r="BB50" s="177">
        <v>101</v>
      </c>
      <c r="BC50" s="177">
        <v>134</v>
      </c>
      <c r="BD50" s="177">
        <v>54</v>
      </c>
      <c r="BE50" s="177">
        <v>96</v>
      </c>
      <c r="BF50" s="179">
        <v>117</v>
      </c>
      <c r="BG50" s="177">
        <v>25</v>
      </c>
      <c r="BH50" s="177">
        <v>27</v>
      </c>
      <c r="BI50" s="177">
        <v>26</v>
      </c>
      <c r="BJ50" s="177">
        <v>30</v>
      </c>
      <c r="BK50" s="177">
        <v>54</v>
      </c>
      <c r="BL50" s="177">
        <v>25</v>
      </c>
      <c r="BM50" s="177">
        <v>62</v>
      </c>
      <c r="BN50" s="177">
        <v>52</v>
      </c>
      <c r="BO50" s="177">
        <v>53</v>
      </c>
      <c r="BP50" s="177">
        <v>76</v>
      </c>
      <c r="BQ50" s="177">
        <v>57</v>
      </c>
      <c r="BR50" s="179">
        <v>72</v>
      </c>
      <c r="BS50" s="177">
        <v>34</v>
      </c>
      <c r="BT50" s="177">
        <v>61</v>
      </c>
      <c r="BU50" s="177">
        <v>66</v>
      </c>
      <c r="BV50" s="177">
        <v>58</v>
      </c>
      <c r="BW50" s="177">
        <v>75</v>
      </c>
      <c r="BX50" s="177">
        <v>82</v>
      </c>
      <c r="BY50" s="177">
        <v>64</v>
      </c>
      <c r="BZ50" s="177">
        <v>77</v>
      </c>
      <c r="CA50" s="177">
        <v>70</v>
      </c>
      <c r="CB50" s="179">
        <v>86</v>
      </c>
      <c r="CC50" s="177">
        <v>75</v>
      </c>
      <c r="CD50" s="177">
        <v>43</v>
      </c>
      <c r="CE50" s="177">
        <v>44</v>
      </c>
      <c r="CF50" s="177">
        <v>92</v>
      </c>
      <c r="CG50" s="177">
        <v>103</v>
      </c>
      <c r="CH50" s="177">
        <v>127</v>
      </c>
      <c r="CI50" s="177">
        <v>82</v>
      </c>
      <c r="CJ50" s="177">
        <v>152</v>
      </c>
      <c r="CK50" s="178">
        <v>87</v>
      </c>
      <c r="CL50" s="180">
        <v>83</v>
      </c>
    </row>
    <row r="51" spans="1:90">
      <c r="A51" s="93">
        <f>ROWS($A$3:A49)</f>
        <v>47</v>
      </c>
      <c r="B51" s="62" t="s">
        <v>103</v>
      </c>
      <c r="C51" s="312">
        <f>C95</f>
        <v>2001</v>
      </c>
      <c r="D51" s="314" t="s">
        <v>10</v>
      </c>
      <c r="E51" s="316"/>
      <c r="F51" s="182">
        <f>ROUND(F96/F95*1000,0)</f>
        <v>5416</v>
      </c>
      <c r="G51" s="183">
        <f>ROUND(G96/G95*1000,0)</f>
        <v>5190</v>
      </c>
      <c r="H51" s="183">
        <f>ROUND(H96/H95*1000,0)</f>
        <v>4838</v>
      </c>
      <c r="I51" s="184">
        <f>ROUND(I96/I95*1000,0)</f>
        <v>5688</v>
      </c>
      <c r="J51" s="181"/>
      <c r="K51" s="185">
        <f t="shared" si="78"/>
        <v>5562</v>
      </c>
      <c r="L51" s="186">
        <f t="shared" si="79"/>
        <v>5318</v>
      </c>
      <c r="M51" s="186">
        <f t="shared" si="80"/>
        <v>5145</v>
      </c>
      <c r="N51" s="186">
        <f t="shared" si="81"/>
        <v>5110</v>
      </c>
      <c r="O51" s="186">
        <f t="shared" si="82"/>
        <v>5104</v>
      </c>
      <c r="P51" s="183">
        <f>ROUND(P96/P95*1000,0)</f>
        <v>5478</v>
      </c>
      <c r="Q51" s="186">
        <f>'2001'!AU51</f>
        <v>5501</v>
      </c>
      <c r="R51" s="183">
        <f>ROUND(R96/R95*1000,0)</f>
        <v>5400</v>
      </c>
      <c r="S51" s="186">
        <f t="shared" si="83"/>
        <v>4430</v>
      </c>
      <c r="T51" s="186">
        <f t="shared" si="84"/>
        <v>5351</v>
      </c>
      <c r="U51" s="187">
        <f t="shared" si="85"/>
        <v>5799</v>
      </c>
      <c r="V51" s="183">
        <f>ROUND(V96/V95*1000,0)</f>
        <v>4108</v>
      </c>
      <c r="W51" s="186">
        <f t="shared" si="86"/>
        <v>4919</v>
      </c>
      <c r="X51" s="183">
        <f>ROUND(X96/X95*1000,0)</f>
        <v>4458</v>
      </c>
      <c r="Y51" s="183">
        <f>ROUND(Y96/Y95*1000,0)</f>
        <v>5263</v>
      </c>
      <c r="Z51" s="186">
        <f t="shared" si="87"/>
        <v>5588</v>
      </c>
      <c r="AA51" s="183">
        <f>ROUND(AA96/AA95*1000,0)</f>
        <v>5167</v>
      </c>
      <c r="AB51" s="187">
        <f t="shared" si="88"/>
        <v>5070</v>
      </c>
      <c r="AC51" s="186">
        <f t="shared" si="89"/>
        <v>4870</v>
      </c>
      <c r="AD51" s="186">
        <f t="shared" si="90"/>
        <v>4637</v>
      </c>
      <c r="AE51" s="183">
        <f>ROUND(AE96/AE95*1000,0)</f>
        <v>4763</v>
      </c>
      <c r="AF51" s="186">
        <f t="shared" si="91"/>
        <v>4327</v>
      </c>
      <c r="AG51" s="186">
        <f t="shared" si="92"/>
        <v>4296</v>
      </c>
      <c r="AH51" s="186">
        <f t="shared" si="93"/>
        <v>5562</v>
      </c>
      <c r="AI51" s="186">
        <f t="shared" si="94"/>
        <v>4603</v>
      </c>
      <c r="AJ51" s="186">
        <f t="shared" si="95"/>
        <v>5396</v>
      </c>
      <c r="AK51" s="187">
        <f t="shared" si="96"/>
        <v>4938</v>
      </c>
      <c r="AL51" s="186">
        <f t="shared" si="97"/>
        <v>5456</v>
      </c>
      <c r="AM51" s="186">
        <f t="shared" si="98"/>
        <v>5778</v>
      </c>
      <c r="AN51" s="186">
        <f t="shared" si="99"/>
        <v>5899</v>
      </c>
      <c r="AO51" s="186">
        <f t="shared" si="100"/>
        <v>5264</v>
      </c>
      <c r="AP51" s="186">
        <f t="shared" si="101"/>
        <v>4611</v>
      </c>
      <c r="AQ51" s="186">
        <f t="shared" si="102"/>
        <v>5287</v>
      </c>
      <c r="AR51" s="186">
        <f t="shared" si="103"/>
        <v>5695</v>
      </c>
      <c r="AS51" s="184">
        <f>ROUND(AS96/AS95*1000,0)</f>
        <v>5426</v>
      </c>
      <c r="AT51" s="183">
        <f t="shared" ref="AT51:CL51" si="105">IF(ISERROR(AT96/AT95)=TRUE,0,ROUND(AT96/AT95*1000,0))</f>
        <v>4764</v>
      </c>
      <c r="AU51" s="183">
        <f t="shared" si="105"/>
        <v>5501</v>
      </c>
      <c r="AV51" s="183">
        <f t="shared" si="105"/>
        <v>4430</v>
      </c>
      <c r="AW51" s="183">
        <f t="shared" si="105"/>
        <v>5110</v>
      </c>
      <c r="AX51" s="183">
        <f t="shared" si="105"/>
        <v>5400</v>
      </c>
      <c r="AY51" s="183">
        <f t="shared" si="105"/>
        <v>5318</v>
      </c>
      <c r="AZ51" s="183">
        <f t="shared" si="105"/>
        <v>3523</v>
      </c>
      <c r="BA51" s="183">
        <f t="shared" si="105"/>
        <v>5558</v>
      </c>
      <c r="BB51" s="183">
        <f t="shared" si="105"/>
        <v>5351</v>
      </c>
      <c r="BC51" s="183">
        <f t="shared" si="105"/>
        <v>5799</v>
      </c>
      <c r="BD51" s="183">
        <f t="shared" si="105"/>
        <v>5145</v>
      </c>
      <c r="BE51" s="183">
        <f t="shared" si="105"/>
        <v>5104</v>
      </c>
      <c r="BF51" s="188">
        <f t="shared" si="105"/>
        <v>5562</v>
      </c>
      <c r="BG51" s="183">
        <f t="shared" si="105"/>
        <v>0</v>
      </c>
      <c r="BH51" s="183">
        <f t="shared" si="105"/>
        <v>4699</v>
      </c>
      <c r="BI51" s="183">
        <f t="shared" si="105"/>
        <v>4444</v>
      </c>
      <c r="BJ51" s="183">
        <f t="shared" si="105"/>
        <v>4108</v>
      </c>
      <c r="BK51" s="183">
        <f t="shared" si="105"/>
        <v>6746</v>
      </c>
      <c r="BL51" s="183">
        <f t="shared" si="105"/>
        <v>4462</v>
      </c>
      <c r="BM51" s="183">
        <f t="shared" si="105"/>
        <v>5588</v>
      </c>
      <c r="BN51" s="183">
        <f t="shared" si="105"/>
        <v>5192</v>
      </c>
      <c r="BO51" s="183">
        <f t="shared" si="105"/>
        <v>4496</v>
      </c>
      <c r="BP51" s="183">
        <f t="shared" si="105"/>
        <v>5070</v>
      </c>
      <c r="BQ51" s="183">
        <f t="shared" si="105"/>
        <v>5191</v>
      </c>
      <c r="BR51" s="188">
        <f t="shared" si="105"/>
        <v>4919</v>
      </c>
      <c r="BS51" s="183">
        <f t="shared" si="105"/>
        <v>0</v>
      </c>
      <c r="BT51" s="183">
        <f t="shared" si="105"/>
        <v>4763</v>
      </c>
      <c r="BU51" s="183">
        <f t="shared" si="105"/>
        <v>4637</v>
      </c>
      <c r="BV51" s="183">
        <f t="shared" si="105"/>
        <v>4296</v>
      </c>
      <c r="BW51" s="183">
        <f t="shared" si="105"/>
        <v>4603</v>
      </c>
      <c r="BX51" s="183">
        <f t="shared" si="105"/>
        <v>4870</v>
      </c>
      <c r="BY51" s="183">
        <f t="shared" si="105"/>
        <v>5396</v>
      </c>
      <c r="BZ51" s="183">
        <f t="shared" si="105"/>
        <v>5562</v>
      </c>
      <c r="CA51" s="183">
        <f t="shared" si="105"/>
        <v>4327</v>
      </c>
      <c r="CB51" s="188">
        <f t="shared" si="105"/>
        <v>4938</v>
      </c>
      <c r="CC51" s="183">
        <f t="shared" si="105"/>
        <v>5264</v>
      </c>
      <c r="CD51" s="183">
        <f t="shared" si="105"/>
        <v>4611</v>
      </c>
      <c r="CE51" s="183">
        <f t="shared" si="105"/>
        <v>5456</v>
      </c>
      <c r="CF51" s="183">
        <v>0</v>
      </c>
      <c r="CG51" s="183">
        <f t="shared" si="105"/>
        <v>5381</v>
      </c>
      <c r="CH51" s="183">
        <f t="shared" si="105"/>
        <v>5778</v>
      </c>
      <c r="CI51" s="183">
        <f t="shared" si="105"/>
        <v>5695</v>
      </c>
      <c r="CJ51" s="183">
        <f t="shared" si="105"/>
        <v>5899</v>
      </c>
      <c r="CK51" s="184">
        <f t="shared" si="105"/>
        <v>5287</v>
      </c>
      <c r="CL51" s="189">
        <f t="shared" si="105"/>
        <v>5408</v>
      </c>
    </row>
    <row r="52" spans="1:90">
      <c r="A52" s="93">
        <f>ROWS($A$3:A50)</f>
        <v>48</v>
      </c>
      <c r="B52" s="62" t="s">
        <v>104</v>
      </c>
      <c r="C52" s="312"/>
      <c r="D52" s="314" t="s">
        <v>11</v>
      </c>
      <c r="E52" s="316"/>
      <c r="F52" s="182">
        <f>F97</f>
        <v>618865</v>
      </c>
      <c r="G52" s="183">
        <f>G97</f>
        <v>149025</v>
      </c>
      <c r="H52" s="183">
        <f>H97</f>
        <v>366598</v>
      </c>
      <c r="I52" s="184">
        <f>I97</f>
        <v>1009287</v>
      </c>
      <c r="J52" s="181"/>
      <c r="K52" s="185">
        <f t="shared" si="78"/>
        <v>150712</v>
      </c>
      <c r="L52" s="186">
        <f t="shared" si="79"/>
        <v>42810</v>
      </c>
      <c r="M52" s="186">
        <f t="shared" si="80"/>
        <v>45971</v>
      </c>
      <c r="N52" s="186">
        <f t="shared" si="81"/>
        <v>57752</v>
      </c>
      <c r="O52" s="186">
        <f t="shared" si="82"/>
        <v>42099</v>
      </c>
      <c r="P52" s="183">
        <f>AZ52+BA52</f>
        <v>34324</v>
      </c>
      <c r="Q52" s="186">
        <f>'2009'!AU52</f>
        <v>16912</v>
      </c>
      <c r="R52" s="183">
        <f>AT52+AX52</f>
        <v>31700</v>
      </c>
      <c r="S52" s="186">
        <f t="shared" si="83"/>
        <v>14642</v>
      </c>
      <c r="T52" s="186">
        <f t="shared" si="84"/>
        <v>45007</v>
      </c>
      <c r="U52" s="187">
        <f t="shared" si="85"/>
        <v>135411</v>
      </c>
      <c r="V52" s="183">
        <f>BG52+BJ52</f>
        <v>2815</v>
      </c>
      <c r="W52" s="186">
        <f t="shared" si="86"/>
        <v>22064</v>
      </c>
      <c r="X52" s="183">
        <f>BH52+BI52</f>
        <v>8816</v>
      </c>
      <c r="Y52" s="183">
        <f>BK52+BL52+BN52</f>
        <v>25904</v>
      </c>
      <c r="Z52" s="186">
        <f t="shared" si="87"/>
        <v>51750</v>
      </c>
      <c r="AA52" s="183">
        <f>BO52+BQ52</f>
        <v>16216</v>
      </c>
      <c r="AB52" s="187">
        <f t="shared" si="88"/>
        <v>21460</v>
      </c>
      <c r="AC52" s="186">
        <f t="shared" si="89"/>
        <v>61788</v>
      </c>
      <c r="AD52" s="186">
        <f t="shared" si="90"/>
        <v>19448</v>
      </c>
      <c r="AE52" s="183">
        <f>BT52</f>
        <v>55233</v>
      </c>
      <c r="AF52" s="186">
        <f t="shared" si="91"/>
        <v>19955</v>
      </c>
      <c r="AG52" s="186">
        <f t="shared" si="92"/>
        <v>44544</v>
      </c>
      <c r="AH52" s="186">
        <f t="shared" si="93"/>
        <v>53603</v>
      </c>
      <c r="AI52" s="186">
        <f t="shared" si="94"/>
        <v>29404</v>
      </c>
      <c r="AJ52" s="186">
        <f t="shared" si="95"/>
        <v>28518</v>
      </c>
      <c r="AK52" s="187">
        <f t="shared" si="96"/>
        <v>54105</v>
      </c>
      <c r="AL52" s="186">
        <f t="shared" si="97"/>
        <v>19008</v>
      </c>
      <c r="AM52" s="186">
        <f t="shared" si="98"/>
        <v>219991</v>
      </c>
      <c r="AN52" s="186">
        <f t="shared" si="99"/>
        <v>437632</v>
      </c>
      <c r="AO52" s="186">
        <f t="shared" si="100"/>
        <v>51966</v>
      </c>
      <c r="AP52" s="186">
        <f t="shared" si="101"/>
        <v>9443</v>
      </c>
      <c r="AQ52" s="186">
        <f t="shared" si="102"/>
        <v>80123</v>
      </c>
      <c r="AR52" s="186">
        <f t="shared" si="103"/>
        <v>71575</v>
      </c>
      <c r="AS52" s="184">
        <f>CF52+CG52</f>
        <v>119549</v>
      </c>
      <c r="AT52" s="183">
        <f t="shared" ref="AT52:BF52" si="106">AT97</f>
        <v>2163</v>
      </c>
      <c r="AU52" s="183">
        <f t="shared" si="106"/>
        <v>18437</v>
      </c>
      <c r="AV52" s="183">
        <f t="shared" si="106"/>
        <v>14642</v>
      </c>
      <c r="AW52" s="183">
        <f t="shared" si="106"/>
        <v>57752</v>
      </c>
      <c r="AX52" s="183">
        <f t="shared" si="106"/>
        <v>29537</v>
      </c>
      <c r="AY52" s="183">
        <f t="shared" si="106"/>
        <v>42810</v>
      </c>
      <c r="AZ52" s="183">
        <f t="shared" si="106"/>
        <v>832</v>
      </c>
      <c r="BA52" s="183">
        <f t="shared" si="106"/>
        <v>33492</v>
      </c>
      <c r="BB52" s="183">
        <f t="shared" si="106"/>
        <v>45007</v>
      </c>
      <c r="BC52" s="183">
        <f t="shared" si="106"/>
        <v>135411</v>
      </c>
      <c r="BD52" s="183">
        <f t="shared" si="106"/>
        <v>45971</v>
      </c>
      <c r="BE52" s="183">
        <f t="shared" si="106"/>
        <v>42099</v>
      </c>
      <c r="BF52" s="188">
        <f t="shared" si="106"/>
        <v>150712</v>
      </c>
      <c r="BG52" s="183">
        <v>0</v>
      </c>
      <c r="BH52" s="183">
        <f t="shared" ref="BH52:CK52" si="107">BH97</f>
        <v>500</v>
      </c>
      <c r="BI52" s="183">
        <f t="shared" si="107"/>
        <v>8316</v>
      </c>
      <c r="BJ52" s="183">
        <f t="shared" si="107"/>
        <v>2815</v>
      </c>
      <c r="BK52" s="183">
        <f t="shared" si="107"/>
        <v>1657</v>
      </c>
      <c r="BL52" s="183">
        <f t="shared" si="107"/>
        <v>163</v>
      </c>
      <c r="BM52" s="183">
        <f t="shared" si="107"/>
        <v>51750</v>
      </c>
      <c r="BN52" s="183">
        <f t="shared" si="107"/>
        <v>24084</v>
      </c>
      <c r="BO52" s="183">
        <f t="shared" si="107"/>
        <v>477</v>
      </c>
      <c r="BP52" s="183">
        <f t="shared" si="107"/>
        <v>21460</v>
      </c>
      <c r="BQ52" s="183">
        <f t="shared" si="107"/>
        <v>15739</v>
      </c>
      <c r="BR52" s="188">
        <f t="shared" si="107"/>
        <v>22064</v>
      </c>
      <c r="BS52" s="183" t="str">
        <f t="shared" si="107"/>
        <v>*</v>
      </c>
      <c r="BT52" s="183">
        <f t="shared" si="107"/>
        <v>55233</v>
      </c>
      <c r="BU52" s="183">
        <f t="shared" si="107"/>
        <v>19448</v>
      </c>
      <c r="BV52" s="183">
        <f t="shared" si="107"/>
        <v>44544</v>
      </c>
      <c r="BW52" s="183">
        <f t="shared" si="107"/>
        <v>29404</v>
      </c>
      <c r="BX52" s="183">
        <f t="shared" si="107"/>
        <v>61788</v>
      </c>
      <c r="BY52" s="183">
        <f t="shared" si="107"/>
        <v>28518</v>
      </c>
      <c r="BZ52" s="183">
        <f t="shared" si="107"/>
        <v>53603</v>
      </c>
      <c r="CA52" s="183">
        <f t="shared" si="107"/>
        <v>19955</v>
      </c>
      <c r="CB52" s="188">
        <f t="shared" si="107"/>
        <v>54105</v>
      </c>
      <c r="CC52" s="183">
        <f t="shared" si="107"/>
        <v>51966</v>
      </c>
      <c r="CD52" s="183">
        <f t="shared" si="107"/>
        <v>9443</v>
      </c>
      <c r="CE52" s="183">
        <f t="shared" si="107"/>
        <v>19008</v>
      </c>
      <c r="CF52" s="183">
        <f t="shared" si="107"/>
        <v>6155</v>
      </c>
      <c r="CG52" s="183">
        <f t="shared" si="107"/>
        <v>113394</v>
      </c>
      <c r="CH52" s="183">
        <f t="shared" si="107"/>
        <v>219991</v>
      </c>
      <c r="CI52" s="183">
        <f t="shared" si="107"/>
        <v>71575</v>
      </c>
      <c r="CJ52" s="183">
        <f t="shared" si="107"/>
        <v>437632</v>
      </c>
      <c r="CK52" s="184">
        <f t="shared" si="107"/>
        <v>80123</v>
      </c>
      <c r="CL52" s="189">
        <v>2143775</v>
      </c>
    </row>
    <row r="53" spans="1:90">
      <c r="A53" s="93">
        <f>ROWS($A$3:A51)</f>
        <v>49</v>
      </c>
      <c r="B53" s="62" t="str">
        <f>"Änderung der Milchanlieferung "&amp;C95&amp;" / "&amp;C98</f>
        <v>Änderung der Milchanlieferung 2001 / 1991</v>
      </c>
      <c r="C53" s="312"/>
      <c r="D53" s="314" t="s">
        <v>4</v>
      </c>
      <c r="E53" s="316"/>
      <c r="F53" s="207">
        <f>IF(F52=0,0,(F52-F99)/F99%)</f>
        <v>-2.0139806993516309</v>
      </c>
      <c r="G53" s="208">
        <f>IF(G52=0,0,(G52-G99)/G99%)</f>
        <v>-5.8442584109935236</v>
      </c>
      <c r="H53" s="208">
        <f>IF(H52=0,0,(H52-H99)/H99%)</f>
        <v>9.6656873559703371E-2</v>
      </c>
      <c r="I53" s="209">
        <f>IF(I52=0,0,(I52-I99)/I99%)</f>
        <v>0.34569153219793003</v>
      </c>
      <c r="J53" s="213"/>
      <c r="K53" s="218">
        <f t="shared" si="78"/>
        <v>3.8376210883135133</v>
      </c>
      <c r="L53" s="219">
        <f t="shared" si="79"/>
        <v>-2.4429150904698966</v>
      </c>
      <c r="M53" s="219">
        <f t="shared" si="80"/>
        <v>-10.739388761601491</v>
      </c>
      <c r="N53" s="219">
        <f t="shared" si="81"/>
        <v>1.5776976519215549</v>
      </c>
      <c r="O53" s="219">
        <f t="shared" si="82"/>
        <v>-5.577984120575965</v>
      </c>
      <c r="P53" s="208">
        <f>(P52-P99)/P99%</f>
        <v>-15.576653466807684</v>
      </c>
      <c r="Q53" s="219">
        <f>'2001'!AU53</f>
        <v>-3.7935712794823631</v>
      </c>
      <c r="R53" s="208">
        <f>(R52-R99)/R99%</f>
        <v>-12.493788991332192</v>
      </c>
      <c r="S53" s="219">
        <f t="shared" si="83"/>
        <v>-15.074531639696074</v>
      </c>
      <c r="T53" s="219">
        <f t="shared" si="84"/>
        <v>-10.659626416817199</v>
      </c>
      <c r="U53" s="220">
        <f t="shared" si="85"/>
        <v>7.509150238581058</v>
      </c>
      <c r="V53" s="208">
        <f>(V52-V99)/V99%</f>
        <v>-19.709070165430688</v>
      </c>
      <c r="W53" s="219">
        <f t="shared" si="86"/>
        <v>-4.9830124575311441E-2</v>
      </c>
      <c r="X53" s="208">
        <f>(X52-X99)/X99%</f>
        <v>-31.114236599468665</v>
      </c>
      <c r="Y53" s="208">
        <f>(Y52-Y99)/Y99%</f>
        <v>-13.000839630562552</v>
      </c>
      <c r="Z53" s="219">
        <f t="shared" si="87"/>
        <v>-3.6904695438557309</v>
      </c>
      <c r="AA53" s="208">
        <f>(AA52-AA99)/AA99%</f>
        <v>4.4980023198865835</v>
      </c>
      <c r="AB53" s="220">
        <f t="shared" si="88"/>
        <v>2.8270244369908961</v>
      </c>
      <c r="AC53" s="219">
        <f t="shared" si="89"/>
        <v>7.0478170478170474</v>
      </c>
      <c r="AD53" s="219">
        <f t="shared" si="90"/>
        <v>-7.4477704278303909</v>
      </c>
      <c r="AE53" s="208">
        <f>(AE52-AE99)/AE99%</f>
        <v>5.9544591302346106</v>
      </c>
      <c r="AF53" s="219">
        <f t="shared" si="91"/>
        <v>-16.285606410202625</v>
      </c>
      <c r="AG53" s="219">
        <f t="shared" si="92"/>
        <v>-11.04010225275603</v>
      </c>
      <c r="AH53" s="219">
        <f t="shared" si="93"/>
        <v>0.30876904075751338</v>
      </c>
      <c r="AI53" s="219">
        <f t="shared" si="94"/>
        <v>-3.6976386205089575</v>
      </c>
      <c r="AJ53" s="219">
        <f t="shared" si="95"/>
        <v>10.702224292535227</v>
      </c>
      <c r="AK53" s="220">
        <f t="shared" si="96"/>
        <v>5.178748469119963</v>
      </c>
      <c r="AL53" s="219">
        <f t="shared" si="97"/>
        <v>7.7123590411968044</v>
      </c>
      <c r="AM53" s="219">
        <f t="shared" si="98"/>
        <v>-0.63730228272554001</v>
      </c>
      <c r="AN53" s="219">
        <f t="shared" si="99"/>
        <v>4.8639815207520138</v>
      </c>
      <c r="AO53" s="219">
        <f t="shared" si="100"/>
        <v>-3.0195580770379218</v>
      </c>
      <c r="AP53" s="219">
        <f t="shared" si="101"/>
        <v>-7.1028037383177569</v>
      </c>
      <c r="AQ53" s="219">
        <f t="shared" si="102"/>
        <v>-3.0715443613752389</v>
      </c>
      <c r="AR53" s="219">
        <f t="shared" si="103"/>
        <v>-5.3591262495372085</v>
      </c>
      <c r="AS53" s="209">
        <f>(AS52-AS99)/AS99%</f>
        <v>-6.1543775365219915</v>
      </c>
      <c r="AT53" s="208">
        <f t="shared" ref="AT53:BR53" si="108">IF(AT52=0,0,(AT52-AT99)/AT99%)</f>
        <v>-5.9156154849934754</v>
      </c>
      <c r="AU53" s="208">
        <f t="shared" si="108"/>
        <v>-3.7935712794823631</v>
      </c>
      <c r="AV53" s="208">
        <f t="shared" si="108"/>
        <v>-15.074531639696074</v>
      </c>
      <c r="AW53" s="208">
        <f t="shared" si="108"/>
        <v>1.5776976519215549</v>
      </c>
      <c r="AX53" s="208">
        <f t="shared" si="108"/>
        <v>-12.939546673740679</v>
      </c>
      <c r="AY53" s="208">
        <f t="shared" si="108"/>
        <v>-2.4429150904698966</v>
      </c>
      <c r="AZ53" s="208">
        <f t="shared" si="108"/>
        <v>-56.913516312791302</v>
      </c>
      <c r="BA53" s="208">
        <f t="shared" si="108"/>
        <v>-13.51546764447658</v>
      </c>
      <c r="BB53" s="208">
        <f t="shared" si="108"/>
        <v>-10.659626416817199</v>
      </c>
      <c r="BC53" s="208">
        <f t="shared" si="108"/>
        <v>7.509150238581058</v>
      </c>
      <c r="BD53" s="208">
        <f t="shared" si="108"/>
        <v>-10.739388761601491</v>
      </c>
      <c r="BE53" s="208">
        <f t="shared" si="108"/>
        <v>-5.577984120575965</v>
      </c>
      <c r="BF53" s="216">
        <f t="shared" si="108"/>
        <v>3.8376210883135133</v>
      </c>
      <c r="BG53" s="208">
        <f t="shared" si="108"/>
        <v>0</v>
      </c>
      <c r="BH53" s="208">
        <f t="shared" si="108"/>
        <v>-48.506694129763126</v>
      </c>
      <c r="BI53" s="208">
        <f t="shared" si="108"/>
        <v>-29.686310983343198</v>
      </c>
      <c r="BJ53" s="208">
        <f t="shared" si="108"/>
        <v>-19.709070165430688</v>
      </c>
      <c r="BK53" s="208">
        <f t="shared" si="108"/>
        <v>33.84491114701131</v>
      </c>
      <c r="BL53" s="208">
        <f t="shared" si="108"/>
        <v>-40.727272727272727</v>
      </c>
      <c r="BM53" s="208">
        <f t="shared" si="108"/>
        <v>-3.6904695438557309</v>
      </c>
      <c r="BN53" s="208">
        <f t="shared" si="108"/>
        <v>-14.783100983652961</v>
      </c>
      <c r="BO53" s="208">
        <f t="shared" si="108"/>
        <v>-26.388888888888886</v>
      </c>
      <c r="BP53" s="208">
        <f t="shared" si="108"/>
        <v>2.8270244369908961</v>
      </c>
      <c r="BQ53" s="208">
        <f t="shared" si="108"/>
        <v>5.8439811701412241</v>
      </c>
      <c r="BR53" s="216">
        <f t="shared" si="108"/>
        <v>-4.9830124575311441E-2</v>
      </c>
      <c r="BS53" s="208" t="s">
        <v>61</v>
      </c>
      <c r="BT53" s="208">
        <f t="shared" ref="BT53:CK53" si="109">IF(BT52=0,0,(BT52-BT99)/BT99%)</f>
        <v>5.9544591302346106</v>
      </c>
      <c r="BU53" s="208">
        <f t="shared" si="109"/>
        <v>-7.4477704278303909</v>
      </c>
      <c r="BV53" s="208">
        <f t="shared" si="109"/>
        <v>-11.04010225275603</v>
      </c>
      <c r="BW53" s="208">
        <f t="shared" si="109"/>
        <v>-3.6976386205089575</v>
      </c>
      <c r="BX53" s="208">
        <f t="shared" si="109"/>
        <v>7.0478170478170474</v>
      </c>
      <c r="BY53" s="208">
        <f t="shared" si="109"/>
        <v>10.702224292535227</v>
      </c>
      <c r="BZ53" s="208">
        <f t="shared" si="109"/>
        <v>0.30876904075751338</v>
      </c>
      <c r="CA53" s="208">
        <f t="shared" si="109"/>
        <v>-16.285606410202625</v>
      </c>
      <c r="CB53" s="216">
        <f t="shared" si="109"/>
        <v>5.178748469119963</v>
      </c>
      <c r="CC53" s="208">
        <f t="shared" si="109"/>
        <v>-3.0195580770379218</v>
      </c>
      <c r="CD53" s="208">
        <f t="shared" si="109"/>
        <v>-7.1028037383177569</v>
      </c>
      <c r="CE53" s="208">
        <f t="shared" si="109"/>
        <v>7.7123590411968044</v>
      </c>
      <c r="CF53" s="208">
        <f t="shared" si="109"/>
        <v>-12.384341637010676</v>
      </c>
      <c r="CG53" s="208">
        <f t="shared" si="109"/>
        <v>-5.790768003722043</v>
      </c>
      <c r="CH53" s="208">
        <f t="shared" si="109"/>
        <v>-0.63730228272554001</v>
      </c>
      <c r="CI53" s="208">
        <f t="shared" si="109"/>
        <v>-5.3591262495372085</v>
      </c>
      <c r="CJ53" s="208">
        <f t="shared" si="109"/>
        <v>4.8639815207520138</v>
      </c>
      <c r="CK53" s="209">
        <f t="shared" si="109"/>
        <v>-3.0715443613752389</v>
      </c>
      <c r="CL53" s="217">
        <v>0.53</v>
      </c>
    </row>
    <row r="54" spans="1:90">
      <c r="A54" s="93">
        <f>ROWS($A$3:A52)</f>
        <v>50</v>
      </c>
      <c r="B54" s="107" t="str">
        <f>"Änderung Anzahl Milchkühe "&amp;C95&amp;" / "&amp;C98</f>
        <v>Änderung Anzahl Milchkühe 2001 / 1991</v>
      </c>
      <c r="C54" s="313"/>
      <c r="D54" s="315" t="s">
        <v>4</v>
      </c>
      <c r="E54" s="317"/>
      <c r="F54" s="221">
        <f>ROUND((F95-F98)/F98%,3)</f>
        <v>-28.669</v>
      </c>
      <c r="G54" s="222">
        <f>ROUND((G95-G98)/G98%,3)</f>
        <v>-32.402999999999999</v>
      </c>
      <c r="H54" s="222">
        <f>ROUND((H95-H98)/H98%,3)</f>
        <v>-30.853000000000002</v>
      </c>
      <c r="I54" s="223">
        <f>ROUND((I95-I98)/I98%,3)</f>
        <v>-22.283000000000001</v>
      </c>
      <c r="J54" s="346"/>
      <c r="K54" s="224">
        <f t="shared" si="78"/>
        <v>-24.792999999999999</v>
      </c>
      <c r="L54" s="225">
        <f t="shared" si="79"/>
        <v>-30.404</v>
      </c>
      <c r="M54" s="225">
        <f t="shared" si="80"/>
        <v>-32.576000000000001</v>
      </c>
      <c r="N54" s="225">
        <f t="shared" si="81"/>
        <v>-23.888999999999999</v>
      </c>
      <c r="O54" s="225">
        <f t="shared" si="82"/>
        <v>-23.922999999999998</v>
      </c>
      <c r="P54" s="222">
        <f>ROUND((P95-P98)/P98%,3)</f>
        <v>-38.029000000000003</v>
      </c>
      <c r="Q54" s="225">
        <f>'2001'!AU54</f>
        <v>-30.672999999999998</v>
      </c>
      <c r="R54" s="222">
        <f>ROUND((R95-R98)/R98%,3)</f>
        <v>-40.11</v>
      </c>
      <c r="S54" s="225">
        <f t="shared" si="83"/>
        <v>-37.203000000000003</v>
      </c>
      <c r="T54" s="225">
        <f t="shared" si="84"/>
        <v>-30.260999999999999</v>
      </c>
      <c r="U54" s="226">
        <f t="shared" si="85"/>
        <v>-27.481999999999999</v>
      </c>
      <c r="V54" s="222">
        <f>ROUND((V95-V98)/V98%,3)</f>
        <v>-46.143000000000001</v>
      </c>
      <c r="W54" s="225">
        <f t="shared" si="86"/>
        <v>-32.566000000000003</v>
      </c>
      <c r="X54" s="222">
        <f>ROUND((X95-X98)/X98%,3)</f>
        <v>-41.399000000000001</v>
      </c>
      <c r="Y54" s="222">
        <f>ROUND((Y95-Y98)/Y98%,3)</f>
        <v>-34.127000000000002</v>
      </c>
      <c r="Z54" s="225">
        <f t="shared" si="87"/>
        <v>-28.962</v>
      </c>
      <c r="AA54" s="222">
        <f>ROUND((AA95-AA98)/AA98%,3)</f>
        <v>-28.295000000000002</v>
      </c>
      <c r="AB54" s="226">
        <f t="shared" si="88"/>
        <v>-32.447000000000003</v>
      </c>
      <c r="AC54" s="225">
        <f t="shared" si="89"/>
        <v>-26.427</v>
      </c>
      <c r="AD54" s="225">
        <f t="shared" si="90"/>
        <v>-40.295000000000002</v>
      </c>
      <c r="AE54" s="222">
        <f>ROUND((AE95-AE98)/AE98%,3)</f>
        <v>-25.321999999999999</v>
      </c>
      <c r="AF54" s="225">
        <f t="shared" si="91"/>
        <v>-40.057000000000002</v>
      </c>
      <c r="AG54" s="225">
        <f t="shared" si="92"/>
        <v>-36.825000000000003</v>
      </c>
      <c r="AH54" s="225">
        <f t="shared" si="93"/>
        <v>-26.117999999999999</v>
      </c>
      <c r="AI54" s="225">
        <f t="shared" si="94"/>
        <v>-36.033000000000001</v>
      </c>
      <c r="AJ54" s="225">
        <f t="shared" si="95"/>
        <v>-23.742000000000001</v>
      </c>
      <c r="AK54" s="226">
        <f t="shared" si="96"/>
        <v>-29.667999999999999</v>
      </c>
      <c r="AL54" s="225">
        <f t="shared" si="97"/>
        <v>-31.739000000000001</v>
      </c>
      <c r="AM54" s="225">
        <f t="shared" si="98"/>
        <v>-20.49</v>
      </c>
      <c r="AN54" s="225">
        <f t="shared" si="99"/>
        <v>-14.746</v>
      </c>
      <c r="AO54" s="225">
        <f t="shared" si="100"/>
        <v>-29.015999999999998</v>
      </c>
      <c r="AP54" s="225">
        <f t="shared" si="101"/>
        <v>-32.197000000000003</v>
      </c>
      <c r="AQ54" s="225">
        <f t="shared" si="102"/>
        <v>-30.98</v>
      </c>
      <c r="AR54" s="225">
        <f t="shared" si="103"/>
        <v>-29.064</v>
      </c>
      <c r="AS54" s="223">
        <f>ROUND((AS95-AS98)/AS98%,3)</f>
        <v>-30.29</v>
      </c>
      <c r="AT54" s="222">
        <f t="shared" ref="AT54:CK54" si="110">IF(AT95=0,0,ROUND((AT95-AT98)/AT98%,3))</f>
        <v>-27.055</v>
      </c>
      <c r="AU54" s="222">
        <f t="shared" si="110"/>
        <v>-30.672999999999998</v>
      </c>
      <c r="AV54" s="222">
        <f t="shared" si="110"/>
        <v>-37.203000000000003</v>
      </c>
      <c r="AW54" s="222">
        <f t="shared" si="110"/>
        <v>-23.888999999999999</v>
      </c>
      <c r="AX54" s="222">
        <f t="shared" si="110"/>
        <v>-35.723999999999997</v>
      </c>
      <c r="AY54" s="222">
        <f t="shared" si="110"/>
        <v>-30.404</v>
      </c>
      <c r="AZ54" s="222">
        <f t="shared" si="110"/>
        <v>-54.058999999999997</v>
      </c>
      <c r="BA54" s="222">
        <f t="shared" si="110"/>
        <v>-37.127000000000002</v>
      </c>
      <c r="BB54" s="222">
        <f t="shared" si="110"/>
        <v>-30.260999999999999</v>
      </c>
      <c r="BC54" s="222">
        <f t="shared" si="110"/>
        <v>-27.481999999999999</v>
      </c>
      <c r="BD54" s="222">
        <f t="shared" si="110"/>
        <v>-32.576000000000001</v>
      </c>
      <c r="BE54" s="222">
        <f t="shared" si="110"/>
        <v>-23.922999999999998</v>
      </c>
      <c r="BF54" s="227">
        <f t="shared" si="110"/>
        <v>-24.792999999999999</v>
      </c>
      <c r="BG54" s="222">
        <v>0</v>
      </c>
      <c r="BH54" s="222">
        <f t="shared" si="110"/>
        <v>-57.835999999999999</v>
      </c>
      <c r="BI54" s="222">
        <f t="shared" si="110"/>
        <v>-40.072000000000003</v>
      </c>
      <c r="BJ54" s="222">
        <f t="shared" si="110"/>
        <v>-46.143000000000001</v>
      </c>
      <c r="BK54" s="222">
        <f t="shared" si="110"/>
        <v>-22.187999999999999</v>
      </c>
      <c r="BL54" s="222">
        <f t="shared" si="110"/>
        <v>-51.25</v>
      </c>
      <c r="BM54" s="222">
        <f t="shared" si="110"/>
        <v>-28.962</v>
      </c>
      <c r="BN54" s="222">
        <f t="shared" si="110"/>
        <v>-34.47</v>
      </c>
      <c r="BO54" s="222">
        <f t="shared" si="110"/>
        <v>-35.057000000000002</v>
      </c>
      <c r="BP54" s="222">
        <f t="shared" si="110"/>
        <v>-32.447000000000003</v>
      </c>
      <c r="BQ54" s="222">
        <f t="shared" si="110"/>
        <v>-28.03</v>
      </c>
      <c r="BR54" s="227">
        <f t="shared" si="110"/>
        <v>-32.566000000000003</v>
      </c>
      <c r="BS54" s="222" t="s">
        <v>61</v>
      </c>
      <c r="BT54" s="222">
        <f t="shared" si="110"/>
        <v>-25.321999999999999</v>
      </c>
      <c r="BU54" s="222">
        <f t="shared" si="110"/>
        <v>-40.295000000000002</v>
      </c>
      <c r="BV54" s="222">
        <f t="shared" si="110"/>
        <v>-36.825000000000003</v>
      </c>
      <c r="BW54" s="222">
        <f t="shared" si="110"/>
        <v>-36.033000000000001</v>
      </c>
      <c r="BX54" s="222">
        <f t="shared" si="110"/>
        <v>-26.427</v>
      </c>
      <c r="BY54" s="222">
        <f t="shared" si="110"/>
        <v>-23.742000000000001</v>
      </c>
      <c r="BZ54" s="222">
        <f t="shared" si="110"/>
        <v>-26.117999999999999</v>
      </c>
      <c r="CA54" s="222">
        <f t="shared" si="110"/>
        <v>-40.057000000000002</v>
      </c>
      <c r="CB54" s="227">
        <f t="shared" si="110"/>
        <v>-29.667999999999999</v>
      </c>
      <c r="CC54" s="222">
        <f t="shared" si="110"/>
        <v>-29.015999999999998</v>
      </c>
      <c r="CD54" s="222">
        <f t="shared" si="110"/>
        <v>-32.197000000000003</v>
      </c>
      <c r="CE54" s="222">
        <f t="shared" si="110"/>
        <v>-31.739000000000001</v>
      </c>
      <c r="CF54" s="222">
        <f t="shared" si="110"/>
        <v>-38.223999999999997</v>
      </c>
      <c r="CG54" s="222">
        <f t="shared" si="110"/>
        <v>-29.885999999999999</v>
      </c>
      <c r="CH54" s="222">
        <f t="shared" si="110"/>
        <v>-20.49</v>
      </c>
      <c r="CI54" s="222">
        <f t="shared" si="110"/>
        <v>-29.064</v>
      </c>
      <c r="CJ54" s="222">
        <f t="shared" si="110"/>
        <v>-14.746</v>
      </c>
      <c r="CK54" s="223">
        <f t="shared" si="110"/>
        <v>-30.98</v>
      </c>
      <c r="CL54" s="228">
        <f>ROUND((CL95-CL98)/CL98%,3)</f>
        <v>-26.744</v>
      </c>
    </row>
    <row r="55" spans="1:90" ht="14.25">
      <c r="A55" s="93">
        <f>ROWS($A$3:A53)</f>
        <v>51</v>
      </c>
      <c r="B55" s="67" t="s">
        <v>224</v>
      </c>
      <c r="C55" s="243"/>
      <c r="D55" s="314"/>
      <c r="E55" s="333"/>
      <c r="F55" s="156"/>
      <c r="G55" s="177"/>
      <c r="H55" s="177"/>
      <c r="I55" s="178"/>
      <c r="J55" s="181"/>
      <c r="K55" s="156"/>
      <c r="L55" s="177"/>
      <c r="M55" s="177"/>
      <c r="N55" s="177"/>
      <c r="O55" s="177"/>
      <c r="P55" s="177"/>
      <c r="Q55" s="177"/>
      <c r="R55" s="177"/>
      <c r="S55" s="177"/>
      <c r="T55" s="177"/>
      <c r="U55" s="179"/>
      <c r="V55" s="177"/>
      <c r="W55" s="177"/>
      <c r="X55" s="177"/>
      <c r="Y55" s="177"/>
      <c r="Z55" s="177"/>
      <c r="AA55" s="177"/>
      <c r="AB55" s="179"/>
      <c r="AC55" s="177"/>
      <c r="AD55" s="177"/>
      <c r="AE55" s="177"/>
      <c r="AF55" s="177"/>
      <c r="AG55" s="177"/>
      <c r="AH55" s="177"/>
      <c r="AI55" s="177"/>
      <c r="AJ55" s="177"/>
      <c r="AK55" s="179"/>
      <c r="AL55" s="177"/>
      <c r="AM55" s="177"/>
      <c r="AN55" s="177"/>
      <c r="AO55" s="177"/>
      <c r="AP55" s="177"/>
      <c r="AQ55" s="177"/>
      <c r="AR55" s="177"/>
      <c r="AS55" s="178"/>
      <c r="AT55" s="177"/>
      <c r="AU55" s="177"/>
      <c r="AV55" s="177"/>
      <c r="AW55" s="177"/>
      <c r="AX55" s="177"/>
      <c r="AY55" s="177"/>
      <c r="AZ55" s="177"/>
      <c r="BA55" s="177"/>
      <c r="BB55" s="177"/>
      <c r="BC55" s="177"/>
      <c r="BD55" s="177"/>
      <c r="BE55" s="177"/>
      <c r="BF55" s="179"/>
      <c r="BG55" s="177"/>
      <c r="BH55" s="177"/>
      <c r="BI55" s="177"/>
      <c r="BJ55" s="177"/>
      <c r="BK55" s="177"/>
      <c r="BL55" s="177"/>
      <c r="BM55" s="177"/>
      <c r="BN55" s="177"/>
      <c r="BO55" s="177"/>
      <c r="BP55" s="177"/>
      <c r="BQ55" s="177"/>
      <c r="BR55" s="179"/>
      <c r="BS55" s="177"/>
      <c r="BT55" s="177"/>
      <c r="BU55" s="177"/>
      <c r="BV55" s="177"/>
      <c r="BW55" s="177"/>
      <c r="BX55" s="177"/>
      <c r="BY55" s="177"/>
      <c r="BZ55" s="177"/>
      <c r="CA55" s="177"/>
      <c r="CB55" s="179"/>
      <c r="CC55" s="177"/>
      <c r="CD55" s="177"/>
      <c r="CE55" s="177"/>
      <c r="CF55" s="177"/>
      <c r="CG55" s="177"/>
      <c r="CH55" s="177"/>
      <c r="CI55" s="177"/>
      <c r="CJ55" s="177"/>
      <c r="CK55" s="178"/>
      <c r="CL55" s="180"/>
    </row>
    <row r="56" spans="1:90">
      <c r="A56" s="93">
        <f>ROWS($A$3:A54)</f>
        <v>52</v>
      </c>
      <c r="B56" s="106" t="s">
        <v>57</v>
      </c>
      <c r="C56" s="242">
        <v>2002</v>
      </c>
      <c r="D56" s="314" t="s">
        <v>14</v>
      </c>
      <c r="E56" s="316">
        <v>40694</v>
      </c>
      <c r="F56" s="156">
        <v>252</v>
      </c>
      <c r="G56" s="177">
        <v>235</v>
      </c>
      <c r="H56" s="177">
        <v>261</v>
      </c>
      <c r="I56" s="178">
        <v>305</v>
      </c>
      <c r="J56" s="181"/>
      <c r="K56" s="156">
        <f t="shared" ref="K56:K63" si="111">BF56</f>
        <v>38</v>
      </c>
      <c r="L56" s="177">
        <f t="shared" ref="L56:L63" si="112">AY56</f>
        <v>22</v>
      </c>
      <c r="M56" s="177">
        <f t="shared" ref="M56:M63" si="113">BD56</f>
        <v>33</v>
      </c>
      <c r="N56" s="177">
        <f t="shared" ref="N56:N63" si="114">AW56</f>
        <v>19</v>
      </c>
      <c r="O56" s="177">
        <f t="shared" ref="O56:O63" si="115">BE56</f>
        <v>10</v>
      </c>
      <c r="P56" s="177">
        <f t="shared" ref="P56:P63" si="116">AZ56+BA56</f>
        <v>21</v>
      </c>
      <c r="Q56" s="177">
        <f>'2001'!AU56</f>
        <v>19</v>
      </c>
      <c r="R56" s="177">
        <f t="shared" ref="R56:R63" si="117">AT56+AX56</f>
        <v>26</v>
      </c>
      <c r="S56" s="177">
        <f t="shared" ref="S56:S63" si="118">AV56</f>
        <v>26</v>
      </c>
      <c r="T56" s="177">
        <f t="shared" ref="T56:U63" si="119">BB56</f>
        <v>20</v>
      </c>
      <c r="U56" s="179">
        <f t="shared" si="119"/>
        <v>18</v>
      </c>
      <c r="V56" s="177">
        <f t="shared" ref="V56:V63" si="120">BG56+BJ56</f>
        <v>31</v>
      </c>
      <c r="W56" s="177">
        <f t="shared" ref="W56:W63" si="121">BR56</f>
        <v>18</v>
      </c>
      <c r="X56" s="177">
        <f t="shared" ref="X56:X63" si="122">BH56+BI56</f>
        <v>46</v>
      </c>
      <c r="Y56" s="177">
        <f t="shared" ref="Y56:Y63" si="123">BK56+BL56+BN56</f>
        <v>61</v>
      </c>
      <c r="Z56" s="177">
        <f t="shared" ref="Z56:Z63" si="124">BM56</f>
        <v>25</v>
      </c>
      <c r="AA56" s="177">
        <f t="shared" ref="AA56:AA63" si="125">BO56+BQ56</f>
        <v>29</v>
      </c>
      <c r="AB56" s="179">
        <f t="shared" ref="AB56:AB63" si="126">BP56</f>
        <v>25</v>
      </c>
      <c r="AC56" s="177">
        <f t="shared" ref="AC56:AC63" si="127">BX56</f>
        <v>24</v>
      </c>
      <c r="AD56" s="177">
        <f t="shared" ref="AD56:AD63" si="128">BU56</f>
        <v>19</v>
      </c>
      <c r="AE56" s="177">
        <f t="shared" ref="AE56:AE63" si="129">BS56+BT56</f>
        <v>48</v>
      </c>
      <c r="AF56" s="177">
        <f t="shared" ref="AF56:AF63" si="130">CA56</f>
        <v>23</v>
      </c>
      <c r="AG56" s="177">
        <f t="shared" ref="AG56:AG63" si="131">BV56</f>
        <v>22</v>
      </c>
      <c r="AH56" s="177">
        <f t="shared" ref="AH56:AH63" si="132">BZ56</f>
        <v>57</v>
      </c>
      <c r="AI56" s="177">
        <f t="shared" ref="AI56:AI63" si="133">BW56</f>
        <v>10</v>
      </c>
      <c r="AJ56" s="177">
        <f t="shared" ref="AJ56:AJ63" si="134">BY56</f>
        <v>23</v>
      </c>
      <c r="AK56" s="179">
        <f t="shared" ref="AK56:AK63" si="135">CB56</f>
        <v>35</v>
      </c>
      <c r="AL56" s="177">
        <f t="shared" ref="AL56:AL63" si="136">CE56</f>
        <v>53</v>
      </c>
      <c r="AM56" s="177">
        <f t="shared" ref="AM56:AM63" si="137">CH56</f>
        <v>29</v>
      </c>
      <c r="AN56" s="177">
        <f t="shared" ref="AN56:AN63" si="138">CJ56</f>
        <v>75</v>
      </c>
      <c r="AO56" s="177">
        <f t="shared" ref="AO56:AP63" si="139">CC56</f>
        <v>41</v>
      </c>
      <c r="AP56" s="177">
        <f t="shared" si="139"/>
        <v>22</v>
      </c>
      <c r="AQ56" s="177">
        <f t="shared" ref="AQ56:AQ63" si="140">CK56</f>
        <v>23</v>
      </c>
      <c r="AR56" s="177">
        <f t="shared" ref="AR56:AR63" si="141">CI56</f>
        <v>30</v>
      </c>
      <c r="AS56" s="178">
        <f t="shared" ref="AS56:AS63" si="142">CF56+CG56</f>
        <v>32</v>
      </c>
      <c r="AT56" s="186">
        <v>7</v>
      </c>
      <c r="AU56" s="177">
        <v>19</v>
      </c>
      <c r="AV56" s="177">
        <v>26</v>
      </c>
      <c r="AW56" s="181">
        <v>19</v>
      </c>
      <c r="AX56" s="177">
        <v>19</v>
      </c>
      <c r="AY56" s="177">
        <v>22</v>
      </c>
      <c r="AZ56" s="177">
        <v>4</v>
      </c>
      <c r="BA56" s="177">
        <v>17</v>
      </c>
      <c r="BB56" s="177">
        <v>20</v>
      </c>
      <c r="BC56" s="177">
        <v>18</v>
      </c>
      <c r="BD56" s="177">
        <v>33</v>
      </c>
      <c r="BE56" s="177">
        <v>10</v>
      </c>
      <c r="BF56" s="179">
        <v>38</v>
      </c>
      <c r="BG56" s="177">
        <v>5</v>
      </c>
      <c r="BH56" s="177">
        <v>7</v>
      </c>
      <c r="BI56" s="177">
        <v>39</v>
      </c>
      <c r="BJ56" s="177">
        <v>26</v>
      </c>
      <c r="BK56" s="177">
        <v>5</v>
      </c>
      <c r="BL56" s="177">
        <v>9</v>
      </c>
      <c r="BM56" s="177">
        <v>25</v>
      </c>
      <c r="BN56" s="177">
        <v>47</v>
      </c>
      <c r="BO56" s="177">
        <v>3</v>
      </c>
      <c r="BP56" s="177">
        <v>25</v>
      </c>
      <c r="BQ56" s="177">
        <v>26</v>
      </c>
      <c r="BR56" s="179">
        <v>18</v>
      </c>
      <c r="BS56" s="177">
        <v>6</v>
      </c>
      <c r="BT56" s="177">
        <v>42</v>
      </c>
      <c r="BU56" s="177">
        <v>19</v>
      </c>
      <c r="BV56" s="177">
        <v>22</v>
      </c>
      <c r="BW56" s="177">
        <v>10</v>
      </c>
      <c r="BX56" s="177">
        <v>24</v>
      </c>
      <c r="BY56" s="177">
        <v>23</v>
      </c>
      <c r="BZ56" s="177">
        <v>57</v>
      </c>
      <c r="CA56" s="177">
        <v>23</v>
      </c>
      <c r="CB56" s="179">
        <v>35</v>
      </c>
      <c r="CC56" s="177">
        <v>41</v>
      </c>
      <c r="CD56" s="177">
        <v>22</v>
      </c>
      <c r="CE56" s="177">
        <v>53</v>
      </c>
      <c r="CF56" s="177">
        <v>1</v>
      </c>
      <c r="CG56" s="177">
        <v>31</v>
      </c>
      <c r="CH56" s="177">
        <v>29</v>
      </c>
      <c r="CI56" s="177">
        <v>30</v>
      </c>
      <c r="CJ56" s="177">
        <v>75</v>
      </c>
      <c r="CK56" s="178">
        <v>23</v>
      </c>
      <c r="CL56" s="180">
        <v>1053</v>
      </c>
    </row>
    <row r="57" spans="1:90">
      <c r="A57" s="93">
        <f>ROWS($A$3:A55)</f>
        <v>53</v>
      </c>
      <c r="B57" s="106"/>
      <c r="C57" s="243"/>
      <c r="D57" s="314" t="s">
        <v>1</v>
      </c>
      <c r="E57" s="333"/>
      <c r="F57" s="156">
        <v>12621</v>
      </c>
      <c r="G57" s="177">
        <v>18847</v>
      </c>
      <c r="H57" s="177">
        <v>29251</v>
      </c>
      <c r="I57" s="178">
        <v>18718</v>
      </c>
      <c r="J57" s="181"/>
      <c r="K57" s="156">
        <f t="shared" si="111"/>
        <v>1747</v>
      </c>
      <c r="L57" s="177">
        <f t="shared" si="112"/>
        <v>520</v>
      </c>
      <c r="M57" s="177">
        <f t="shared" si="113"/>
        <v>967</v>
      </c>
      <c r="N57" s="177">
        <f t="shared" si="114"/>
        <v>2448</v>
      </c>
      <c r="O57" s="177">
        <f t="shared" si="115"/>
        <v>440</v>
      </c>
      <c r="P57" s="177">
        <f t="shared" si="116"/>
        <v>409</v>
      </c>
      <c r="Q57" s="177">
        <f>'2001'!AU57</f>
        <v>709</v>
      </c>
      <c r="R57" s="177">
        <f t="shared" si="117"/>
        <v>1903</v>
      </c>
      <c r="S57" s="177">
        <f t="shared" si="118"/>
        <v>2091</v>
      </c>
      <c r="T57" s="177">
        <f t="shared" si="119"/>
        <v>479</v>
      </c>
      <c r="U57" s="179">
        <f t="shared" si="119"/>
        <v>908</v>
      </c>
      <c r="V57" s="177">
        <f t="shared" si="120"/>
        <v>4302</v>
      </c>
      <c r="W57" s="177">
        <f t="shared" si="121"/>
        <v>2855</v>
      </c>
      <c r="X57" s="177">
        <f t="shared" si="122"/>
        <v>3577</v>
      </c>
      <c r="Y57" s="177">
        <f t="shared" si="123"/>
        <v>3679</v>
      </c>
      <c r="Z57" s="177">
        <f t="shared" si="124"/>
        <v>903</v>
      </c>
      <c r="AA57" s="177">
        <f t="shared" si="125"/>
        <v>1554</v>
      </c>
      <c r="AB57" s="179">
        <f t="shared" si="126"/>
        <v>1977</v>
      </c>
      <c r="AC57" s="177">
        <f t="shared" si="127"/>
        <v>1949</v>
      </c>
      <c r="AD57" s="177">
        <f t="shared" si="128"/>
        <v>2885</v>
      </c>
      <c r="AE57" s="177">
        <f t="shared" si="129"/>
        <v>5871</v>
      </c>
      <c r="AF57" s="177">
        <f t="shared" si="130"/>
        <v>5541</v>
      </c>
      <c r="AG57" s="177">
        <f t="shared" si="131"/>
        <v>3485</v>
      </c>
      <c r="AH57" s="177">
        <f t="shared" si="132"/>
        <v>4092</v>
      </c>
      <c r="AI57" s="177">
        <f t="shared" si="133"/>
        <v>436</v>
      </c>
      <c r="AJ57" s="177">
        <f t="shared" si="134"/>
        <v>1566</v>
      </c>
      <c r="AK57" s="179">
        <f t="shared" si="135"/>
        <v>3426</v>
      </c>
      <c r="AL57" s="177">
        <f t="shared" si="136"/>
        <v>1545</v>
      </c>
      <c r="AM57" s="177">
        <f t="shared" si="137"/>
        <v>3551</v>
      </c>
      <c r="AN57" s="177">
        <f t="shared" si="138"/>
        <v>5820</v>
      </c>
      <c r="AO57" s="177">
        <f t="shared" si="139"/>
        <v>1930</v>
      </c>
      <c r="AP57" s="177">
        <f t="shared" si="139"/>
        <v>1184</v>
      </c>
      <c r="AQ57" s="177">
        <f t="shared" si="140"/>
        <v>1973</v>
      </c>
      <c r="AR57" s="177">
        <f t="shared" si="141"/>
        <v>1474</v>
      </c>
      <c r="AS57" s="178">
        <f t="shared" si="142"/>
        <v>1241</v>
      </c>
      <c r="AT57" s="177">
        <v>1360</v>
      </c>
      <c r="AU57" s="177">
        <v>709</v>
      </c>
      <c r="AV57" s="177">
        <v>2091</v>
      </c>
      <c r="AW57" s="177">
        <v>2448</v>
      </c>
      <c r="AX57" s="177">
        <v>543</v>
      </c>
      <c r="AY57" s="177">
        <v>520</v>
      </c>
      <c r="AZ57" s="177">
        <v>93</v>
      </c>
      <c r="BA57" s="177">
        <v>316</v>
      </c>
      <c r="BB57" s="177">
        <v>479</v>
      </c>
      <c r="BC57" s="177">
        <v>908</v>
      </c>
      <c r="BD57" s="177">
        <v>967</v>
      </c>
      <c r="BE57" s="177">
        <v>440</v>
      </c>
      <c r="BF57" s="179">
        <v>1747</v>
      </c>
      <c r="BG57" s="177">
        <v>438</v>
      </c>
      <c r="BH57" s="177">
        <v>646</v>
      </c>
      <c r="BI57" s="177">
        <v>2931</v>
      </c>
      <c r="BJ57" s="177">
        <v>3864</v>
      </c>
      <c r="BK57" s="177">
        <v>84</v>
      </c>
      <c r="BL57" s="177">
        <v>691</v>
      </c>
      <c r="BM57" s="177">
        <v>903</v>
      </c>
      <c r="BN57" s="177">
        <v>2904</v>
      </c>
      <c r="BO57" s="177">
        <v>197</v>
      </c>
      <c r="BP57" s="177">
        <v>1977</v>
      </c>
      <c r="BQ57" s="177">
        <v>1357</v>
      </c>
      <c r="BR57" s="179">
        <v>2855</v>
      </c>
      <c r="BS57" s="177">
        <v>655</v>
      </c>
      <c r="BT57" s="177">
        <v>5216</v>
      </c>
      <c r="BU57" s="177">
        <v>2885</v>
      </c>
      <c r="BV57" s="177">
        <v>3485</v>
      </c>
      <c r="BW57" s="177">
        <v>436</v>
      </c>
      <c r="BX57" s="177">
        <v>1949</v>
      </c>
      <c r="BY57" s="177">
        <v>1566</v>
      </c>
      <c r="BZ57" s="177">
        <v>4092</v>
      </c>
      <c r="CA57" s="177">
        <v>5541</v>
      </c>
      <c r="CB57" s="179">
        <v>3426</v>
      </c>
      <c r="CC57" s="177">
        <v>1930</v>
      </c>
      <c r="CD57" s="177">
        <v>1184</v>
      </c>
      <c r="CE57" s="177">
        <v>1545</v>
      </c>
      <c r="CF57" s="177">
        <v>39</v>
      </c>
      <c r="CG57" s="177">
        <v>1202</v>
      </c>
      <c r="CH57" s="177">
        <v>3551</v>
      </c>
      <c r="CI57" s="177">
        <v>1474</v>
      </c>
      <c r="CJ57" s="177">
        <v>5820</v>
      </c>
      <c r="CK57" s="178">
        <v>1973</v>
      </c>
      <c r="CL57" s="180">
        <v>79437</v>
      </c>
    </row>
    <row r="58" spans="1:90">
      <c r="A58" s="93">
        <f>ROWS($A$3:A56)</f>
        <v>54</v>
      </c>
      <c r="B58" s="106" t="s">
        <v>249</v>
      </c>
      <c r="C58" s="243"/>
      <c r="D58" s="314" t="s">
        <v>14</v>
      </c>
      <c r="E58" s="337"/>
      <c r="F58" s="156"/>
      <c r="G58" s="177"/>
      <c r="H58" s="177"/>
      <c r="I58" s="178"/>
      <c r="J58" s="181"/>
      <c r="K58" s="156">
        <f t="shared" si="111"/>
        <v>0</v>
      </c>
      <c r="L58" s="177">
        <f t="shared" si="112"/>
        <v>0</v>
      </c>
      <c r="M58" s="177">
        <f t="shared" si="113"/>
        <v>0</v>
      </c>
      <c r="N58" s="177">
        <f t="shared" si="114"/>
        <v>0</v>
      </c>
      <c r="O58" s="177">
        <f t="shared" si="115"/>
        <v>0</v>
      </c>
      <c r="P58" s="177">
        <f t="shared" si="116"/>
        <v>0</v>
      </c>
      <c r="Q58" s="177">
        <f>'2001'!AU58</f>
        <v>0</v>
      </c>
      <c r="R58" s="177">
        <f t="shared" si="117"/>
        <v>0</v>
      </c>
      <c r="S58" s="177">
        <f t="shared" si="118"/>
        <v>0</v>
      </c>
      <c r="T58" s="177">
        <f t="shared" si="119"/>
        <v>0</v>
      </c>
      <c r="U58" s="179">
        <f t="shared" si="119"/>
        <v>0</v>
      </c>
      <c r="V58" s="177">
        <f t="shared" si="120"/>
        <v>0</v>
      </c>
      <c r="W58" s="177">
        <f t="shared" si="121"/>
        <v>0</v>
      </c>
      <c r="X58" s="177">
        <f t="shared" si="122"/>
        <v>0</v>
      </c>
      <c r="Y58" s="177">
        <f t="shared" si="123"/>
        <v>0</v>
      </c>
      <c r="Z58" s="177">
        <f t="shared" si="124"/>
        <v>0</v>
      </c>
      <c r="AA58" s="177">
        <f t="shared" si="125"/>
        <v>0</v>
      </c>
      <c r="AB58" s="179">
        <f t="shared" si="126"/>
        <v>0</v>
      </c>
      <c r="AC58" s="177">
        <f t="shared" si="127"/>
        <v>0</v>
      </c>
      <c r="AD58" s="177">
        <f t="shared" si="128"/>
        <v>0</v>
      </c>
      <c r="AE58" s="177">
        <f t="shared" si="129"/>
        <v>0</v>
      </c>
      <c r="AF58" s="177">
        <f t="shared" si="130"/>
        <v>0</v>
      </c>
      <c r="AG58" s="177">
        <f t="shared" si="131"/>
        <v>0</v>
      </c>
      <c r="AH58" s="177">
        <f t="shared" si="132"/>
        <v>0</v>
      </c>
      <c r="AI58" s="177">
        <f t="shared" si="133"/>
        <v>0</v>
      </c>
      <c r="AJ58" s="177">
        <f t="shared" si="134"/>
        <v>0</v>
      </c>
      <c r="AK58" s="179">
        <f t="shared" si="135"/>
        <v>0</v>
      </c>
      <c r="AL58" s="177">
        <f t="shared" si="136"/>
        <v>0</v>
      </c>
      <c r="AM58" s="177">
        <f t="shared" si="137"/>
        <v>0</v>
      </c>
      <c r="AN58" s="177">
        <f t="shared" si="138"/>
        <v>0</v>
      </c>
      <c r="AO58" s="177">
        <f t="shared" si="139"/>
        <v>0</v>
      </c>
      <c r="AP58" s="177">
        <f t="shared" si="139"/>
        <v>0</v>
      </c>
      <c r="AQ58" s="177">
        <f t="shared" si="140"/>
        <v>0</v>
      </c>
      <c r="AR58" s="177">
        <f t="shared" si="141"/>
        <v>0</v>
      </c>
      <c r="AS58" s="178">
        <f t="shared" si="142"/>
        <v>0</v>
      </c>
      <c r="AT58" s="186"/>
      <c r="AU58" s="177"/>
      <c r="AV58" s="181"/>
      <c r="AW58" s="181"/>
      <c r="AX58" s="181"/>
      <c r="AY58" s="181"/>
      <c r="AZ58" s="181"/>
      <c r="BA58" s="181"/>
      <c r="BB58" s="181"/>
      <c r="BC58" s="181"/>
      <c r="BD58" s="181"/>
      <c r="BE58" s="181"/>
      <c r="BF58" s="179"/>
      <c r="BG58" s="181"/>
      <c r="BH58" s="181"/>
      <c r="BI58" s="181"/>
      <c r="BJ58" s="181"/>
      <c r="BK58" s="181"/>
      <c r="BL58" s="181"/>
      <c r="BM58" s="181"/>
      <c r="BN58" s="181"/>
      <c r="BO58" s="181"/>
      <c r="BP58" s="181"/>
      <c r="BQ58" s="181"/>
      <c r="BR58" s="179"/>
      <c r="BS58" s="181"/>
      <c r="BT58" s="181"/>
      <c r="BU58" s="181"/>
      <c r="BV58" s="181"/>
      <c r="BW58" s="181"/>
      <c r="BX58" s="181"/>
      <c r="BY58" s="181"/>
      <c r="BZ58" s="181"/>
      <c r="CA58" s="181"/>
      <c r="CB58" s="179"/>
      <c r="CC58" s="181"/>
      <c r="CD58" s="181"/>
      <c r="CE58" s="181"/>
      <c r="CF58" s="181"/>
      <c r="CG58" s="181"/>
      <c r="CH58" s="181"/>
      <c r="CI58" s="181"/>
      <c r="CJ58" s="181"/>
      <c r="CK58" s="178"/>
      <c r="CL58" s="180"/>
    </row>
    <row r="59" spans="1:90">
      <c r="A59" s="93">
        <f>ROWS($A$3:A57)</f>
        <v>55</v>
      </c>
      <c r="B59" s="106"/>
      <c r="C59" s="243"/>
      <c r="D59" s="314" t="s">
        <v>1</v>
      </c>
      <c r="E59" s="333"/>
      <c r="F59" s="156"/>
      <c r="G59" s="177"/>
      <c r="H59" s="177"/>
      <c r="I59" s="178"/>
      <c r="J59" s="181"/>
      <c r="K59" s="156">
        <f t="shared" si="111"/>
        <v>0</v>
      </c>
      <c r="L59" s="177">
        <f t="shared" si="112"/>
        <v>0</v>
      </c>
      <c r="M59" s="177">
        <f t="shared" si="113"/>
        <v>0</v>
      </c>
      <c r="N59" s="177">
        <f t="shared" si="114"/>
        <v>0</v>
      </c>
      <c r="O59" s="177">
        <f t="shared" si="115"/>
        <v>0</v>
      </c>
      <c r="P59" s="177">
        <f t="shared" si="116"/>
        <v>0</v>
      </c>
      <c r="Q59" s="177">
        <f>'2001'!AU59</f>
        <v>0</v>
      </c>
      <c r="R59" s="177">
        <f t="shared" si="117"/>
        <v>0</v>
      </c>
      <c r="S59" s="177">
        <f t="shared" si="118"/>
        <v>0</v>
      </c>
      <c r="T59" s="177">
        <f t="shared" si="119"/>
        <v>0</v>
      </c>
      <c r="U59" s="179">
        <f t="shared" si="119"/>
        <v>0</v>
      </c>
      <c r="V59" s="177">
        <f t="shared" si="120"/>
        <v>0</v>
      </c>
      <c r="W59" s="177">
        <f t="shared" si="121"/>
        <v>0</v>
      </c>
      <c r="X59" s="177">
        <f t="shared" si="122"/>
        <v>0</v>
      </c>
      <c r="Y59" s="177">
        <f t="shared" si="123"/>
        <v>0</v>
      </c>
      <c r="Z59" s="177">
        <f t="shared" si="124"/>
        <v>0</v>
      </c>
      <c r="AA59" s="177">
        <f t="shared" si="125"/>
        <v>0</v>
      </c>
      <c r="AB59" s="179">
        <f t="shared" si="126"/>
        <v>0</v>
      </c>
      <c r="AC59" s="177">
        <f t="shared" si="127"/>
        <v>0</v>
      </c>
      <c r="AD59" s="177">
        <f t="shared" si="128"/>
        <v>0</v>
      </c>
      <c r="AE59" s="177">
        <f t="shared" si="129"/>
        <v>0</v>
      </c>
      <c r="AF59" s="177">
        <f t="shared" si="130"/>
        <v>0</v>
      </c>
      <c r="AG59" s="177">
        <f t="shared" si="131"/>
        <v>0</v>
      </c>
      <c r="AH59" s="177">
        <f t="shared" si="132"/>
        <v>0</v>
      </c>
      <c r="AI59" s="177">
        <f t="shared" si="133"/>
        <v>0</v>
      </c>
      <c r="AJ59" s="177">
        <f t="shared" si="134"/>
        <v>0</v>
      </c>
      <c r="AK59" s="179">
        <f t="shared" si="135"/>
        <v>0</v>
      </c>
      <c r="AL59" s="177">
        <f t="shared" si="136"/>
        <v>0</v>
      </c>
      <c r="AM59" s="177">
        <f t="shared" si="137"/>
        <v>0</v>
      </c>
      <c r="AN59" s="177">
        <f t="shared" si="138"/>
        <v>0</v>
      </c>
      <c r="AO59" s="177">
        <f t="shared" si="139"/>
        <v>0</v>
      </c>
      <c r="AP59" s="177">
        <f t="shared" si="139"/>
        <v>0</v>
      </c>
      <c r="AQ59" s="177">
        <f t="shared" si="140"/>
        <v>0</v>
      </c>
      <c r="AR59" s="177">
        <f t="shared" si="141"/>
        <v>0</v>
      </c>
      <c r="AS59" s="178">
        <f t="shared" si="142"/>
        <v>0</v>
      </c>
      <c r="AT59" s="177"/>
      <c r="AU59" s="177"/>
      <c r="AV59" s="177"/>
      <c r="AW59" s="177"/>
      <c r="AX59" s="177"/>
      <c r="AY59" s="177"/>
      <c r="AZ59" s="177"/>
      <c r="BA59" s="177"/>
      <c r="BB59" s="177"/>
      <c r="BC59" s="177"/>
      <c r="BD59" s="177"/>
      <c r="BE59" s="177"/>
      <c r="BF59" s="179"/>
      <c r="BG59" s="177"/>
      <c r="BH59" s="177"/>
      <c r="BI59" s="177"/>
      <c r="BJ59" s="177"/>
      <c r="BK59" s="177"/>
      <c r="BL59" s="177"/>
      <c r="BM59" s="177"/>
      <c r="BN59" s="177"/>
      <c r="BO59" s="177"/>
      <c r="BP59" s="177"/>
      <c r="BQ59" s="177"/>
      <c r="BR59" s="179"/>
      <c r="BS59" s="177"/>
      <c r="BT59" s="177"/>
      <c r="BU59" s="177"/>
      <c r="BV59" s="177"/>
      <c r="BW59" s="177"/>
      <c r="BX59" s="177"/>
      <c r="BY59" s="177"/>
      <c r="BZ59" s="177"/>
      <c r="CA59" s="177"/>
      <c r="CB59" s="179"/>
      <c r="CC59" s="177"/>
      <c r="CD59" s="177"/>
      <c r="CE59" s="177"/>
      <c r="CF59" s="177"/>
      <c r="CG59" s="177"/>
      <c r="CH59" s="177"/>
      <c r="CI59" s="177"/>
      <c r="CJ59" s="177"/>
      <c r="CK59" s="178"/>
      <c r="CL59" s="180"/>
    </row>
    <row r="60" spans="1:90">
      <c r="A60" s="93">
        <f>ROWS($A$3:A58)</f>
        <v>56</v>
      </c>
      <c r="B60" s="106" t="s">
        <v>250</v>
      </c>
      <c r="C60" s="243"/>
      <c r="D60" s="314" t="s">
        <v>14</v>
      </c>
      <c r="E60" s="337"/>
      <c r="F60" s="156"/>
      <c r="G60" s="181"/>
      <c r="H60" s="181"/>
      <c r="I60" s="178"/>
      <c r="J60" s="181"/>
      <c r="K60" s="156">
        <f t="shared" si="111"/>
        <v>0</v>
      </c>
      <c r="L60" s="177">
        <f t="shared" si="112"/>
        <v>0</v>
      </c>
      <c r="M60" s="177">
        <f t="shared" si="113"/>
        <v>0</v>
      </c>
      <c r="N60" s="177">
        <f t="shared" si="114"/>
        <v>0</v>
      </c>
      <c r="O60" s="177">
        <f t="shared" si="115"/>
        <v>0</v>
      </c>
      <c r="P60" s="177">
        <f t="shared" si="116"/>
        <v>0</v>
      </c>
      <c r="Q60" s="177">
        <f>'2001'!AU60</f>
        <v>0</v>
      </c>
      <c r="R60" s="177">
        <f t="shared" si="117"/>
        <v>0</v>
      </c>
      <c r="S60" s="177">
        <f t="shared" si="118"/>
        <v>0</v>
      </c>
      <c r="T60" s="177">
        <f t="shared" si="119"/>
        <v>0</v>
      </c>
      <c r="U60" s="179">
        <f t="shared" si="119"/>
        <v>0</v>
      </c>
      <c r="V60" s="177">
        <f t="shared" si="120"/>
        <v>0</v>
      </c>
      <c r="W60" s="177">
        <f t="shared" si="121"/>
        <v>0</v>
      </c>
      <c r="X60" s="177">
        <f t="shared" si="122"/>
        <v>0</v>
      </c>
      <c r="Y60" s="177">
        <f t="shared" si="123"/>
        <v>0</v>
      </c>
      <c r="Z60" s="177">
        <f t="shared" si="124"/>
        <v>0</v>
      </c>
      <c r="AA60" s="177">
        <f t="shared" si="125"/>
        <v>0</v>
      </c>
      <c r="AB60" s="179">
        <f t="shared" si="126"/>
        <v>0</v>
      </c>
      <c r="AC60" s="177">
        <f t="shared" si="127"/>
        <v>0</v>
      </c>
      <c r="AD60" s="177">
        <f t="shared" si="128"/>
        <v>0</v>
      </c>
      <c r="AE60" s="177">
        <f t="shared" si="129"/>
        <v>0</v>
      </c>
      <c r="AF60" s="177">
        <f t="shared" si="130"/>
        <v>0</v>
      </c>
      <c r="AG60" s="177">
        <f t="shared" si="131"/>
        <v>0</v>
      </c>
      <c r="AH60" s="177">
        <f t="shared" si="132"/>
        <v>0</v>
      </c>
      <c r="AI60" s="177">
        <f t="shared" si="133"/>
        <v>0</v>
      </c>
      <c r="AJ60" s="177">
        <f t="shared" si="134"/>
        <v>0</v>
      </c>
      <c r="AK60" s="179">
        <f t="shared" si="135"/>
        <v>0</v>
      </c>
      <c r="AL60" s="177">
        <f t="shared" si="136"/>
        <v>0</v>
      </c>
      <c r="AM60" s="177">
        <f t="shared" si="137"/>
        <v>0</v>
      </c>
      <c r="AN60" s="177">
        <f t="shared" si="138"/>
        <v>0</v>
      </c>
      <c r="AO60" s="177">
        <f t="shared" si="139"/>
        <v>0</v>
      </c>
      <c r="AP60" s="177">
        <f t="shared" si="139"/>
        <v>0</v>
      </c>
      <c r="AQ60" s="177">
        <f t="shared" si="140"/>
        <v>0</v>
      </c>
      <c r="AR60" s="177">
        <f t="shared" si="141"/>
        <v>0</v>
      </c>
      <c r="AS60" s="178">
        <f t="shared" si="142"/>
        <v>0</v>
      </c>
      <c r="AT60" s="177"/>
      <c r="AU60" s="181"/>
      <c r="AV60" s="181"/>
      <c r="AW60" s="181"/>
      <c r="AX60" s="181"/>
      <c r="AY60" s="181"/>
      <c r="AZ60" s="181"/>
      <c r="BA60" s="181"/>
      <c r="BB60" s="181"/>
      <c r="BC60" s="181"/>
      <c r="BD60" s="181"/>
      <c r="BE60" s="181"/>
      <c r="BF60" s="179"/>
      <c r="BG60" s="181"/>
      <c r="BH60" s="181"/>
      <c r="BI60" s="181"/>
      <c r="BJ60" s="181"/>
      <c r="BK60" s="181"/>
      <c r="BL60" s="181"/>
      <c r="BM60" s="181"/>
      <c r="BN60" s="181"/>
      <c r="BO60" s="181"/>
      <c r="BP60" s="181"/>
      <c r="BQ60" s="181"/>
      <c r="BR60" s="179"/>
      <c r="BS60" s="181"/>
      <c r="BT60" s="181"/>
      <c r="BU60" s="181"/>
      <c r="BV60" s="181"/>
      <c r="BW60" s="181"/>
      <c r="BX60" s="181"/>
      <c r="BY60" s="181"/>
      <c r="BZ60" s="181"/>
      <c r="CA60" s="181"/>
      <c r="CB60" s="179"/>
      <c r="CC60" s="181"/>
      <c r="CD60" s="181"/>
      <c r="CE60" s="181"/>
      <c r="CF60" s="181"/>
      <c r="CG60" s="181"/>
      <c r="CH60" s="181"/>
      <c r="CI60" s="181"/>
      <c r="CJ60" s="181"/>
      <c r="CK60" s="178"/>
      <c r="CL60" s="180"/>
    </row>
    <row r="61" spans="1:90">
      <c r="A61" s="93">
        <f>ROWS($A$3:A59)</f>
        <v>57</v>
      </c>
      <c r="B61" s="106"/>
      <c r="C61" s="243"/>
      <c r="D61" s="314" t="s">
        <v>1</v>
      </c>
      <c r="E61" s="333"/>
      <c r="F61" s="156"/>
      <c r="G61" s="177"/>
      <c r="H61" s="177"/>
      <c r="I61" s="178"/>
      <c r="J61" s="181"/>
      <c r="K61" s="156">
        <f t="shared" si="111"/>
        <v>0</v>
      </c>
      <c r="L61" s="177">
        <f t="shared" si="112"/>
        <v>0</v>
      </c>
      <c r="M61" s="177">
        <f t="shared" si="113"/>
        <v>0</v>
      </c>
      <c r="N61" s="177">
        <f t="shared" si="114"/>
        <v>0</v>
      </c>
      <c r="O61" s="177">
        <f t="shared" si="115"/>
        <v>0</v>
      </c>
      <c r="P61" s="177">
        <f t="shared" si="116"/>
        <v>0</v>
      </c>
      <c r="Q61" s="177">
        <f>'2001'!AU61</f>
        <v>0</v>
      </c>
      <c r="R61" s="177">
        <f t="shared" si="117"/>
        <v>0</v>
      </c>
      <c r="S61" s="177">
        <f t="shared" si="118"/>
        <v>0</v>
      </c>
      <c r="T61" s="177">
        <f t="shared" si="119"/>
        <v>0</v>
      </c>
      <c r="U61" s="179">
        <f t="shared" si="119"/>
        <v>0</v>
      </c>
      <c r="V61" s="177">
        <f t="shared" si="120"/>
        <v>0</v>
      </c>
      <c r="W61" s="177">
        <f t="shared" si="121"/>
        <v>0</v>
      </c>
      <c r="X61" s="177">
        <f t="shared" si="122"/>
        <v>0</v>
      </c>
      <c r="Y61" s="177">
        <f t="shared" si="123"/>
        <v>0</v>
      </c>
      <c r="Z61" s="177">
        <f t="shared" si="124"/>
        <v>0</v>
      </c>
      <c r="AA61" s="177">
        <f t="shared" si="125"/>
        <v>0</v>
      </c>
      <c r="AB61" s="179">
        <f t="shared" si="126"/>
        <v>0</v>
      </c>
      <c r="AC61" s="177">
        <f t="shared" si="127"/>
        <v>0</v>
      </c>
      <c r="AD61" s="177">
        <f t="shared" si="128"/>
        <v>0</v>
      </c>
      <c r="AE61" s="177">
        <f t="shared" si="129"/>
        <v>0</v>
      </c>
      <c r="AF61" s="177">
        <f t="shared" si="130"/>
        <v>0</v>
      </c>
      <c r="AG61" s="177">
        <f t="shared" si="131"/>
        <v>0</v>
      </c>
      <c r="AH61" s="177">
        <f t="shared" si="132"/>
        <v>0</v>
      </c>
      <c r="AI61" s="177">
        <f t="shared" si="133"/>
        <v>0</v>
      </c>
      <c r="AJ61" s="177">
        <f t="shared" si="134"/>
        <v>0</v>
      </c>
      <c r="AK61" s="179">
        <f t="shared" si="135"/>
        <v>0</v>
      </c>
      <c r="AL61" s="177">
        <f t="shared" si="136"/>
        <v>0</v>
      </c>
      <c r="AM61" s="177">
        <f t="shared" si="137"/>
        <v>0</v>
      </c>
      <c r="AN61" s="177">
        <f t="shared" si="138"/>
        <v>0</v>
      </c>
      <c r="AO61" s="177">
        <f t="shared" si="139"/>
        <v>0</v>
      </c>
      <c r="AP61" s="177">
        <f t="shared" si="139"/>
        <v>0</v>
      </c>
      <c r="AQ61" s="177">
        <f t="shared" si="140"/>
        <v>0</v>
      </c>
      <c r="AR61" s="177">
        <f t="shared" si="141"/>
        <v>0</v>
      </c>
      <c r="AS61" s="178">
        <f t="shared" si="142"/>
        <v>0</v>
      </c>
      <c r="AT61" s="177"/>
      <c r="AU61" s="177"/>
      <c r="AV61" s="177"/>
      <c r="AW61" s="177"/>
      <c r="AX61" s="177"/>
      <c r="AY61" s="177"/>
      <c r="AZ61" s="177"/>
      <c r="BA61" s="177"/>
      <c r="BB61" s="177"/>
      <c r="BC61" s="177"/>
      <c r="BD61" s="177"/>
      <c r="BE61" s="177"/>
      <c r="BF61" s="179"/>
      <c r="BG61" s="177"/>
      <c r="BH61" s="177"/>
      <c r="BI61" s="177"/>
      <c r="BJ61" s="177"/>
      <c r="BK61" s="177"/>
      <c r="BL61" s="177"/>
      <c r="BM61" s="177"/>
      <c r="BN61" s="177"/>
      <c r="BO61" s="177"/>
      <c r="BP61" s="177"/>
      <c r="BQ61" s="177"/>
      <c r="BR61" s="179"/>
      <c r="BS61" s="177"/>
      <c r="BT61" s="177"/>
      <c r="BU61" s="177"/>
      <c r="BV61" s="177"/>
      <c r="BW61" s="177"/>
      <c r="BX61" s="177"/>
      <c r="BY61" s="177"/>
      <c r="BZ61" s="177"/>
      <c r="CA61" s="177"/>
      <c r="CB61" s="179"/>
      <c r="CC61" s="177"/>
      <c r="CD61" s="177"/>
      <c r="CE61" s="177"/>
      <c r="CF61" s="177"/>
      <c r="CG61" s="177"/>
      <c r="CH61" s="177"/>
      <c r="CI61" s="177"/>
      <c r="CJ61" s="177"/>
      <c r="CK61" s="178"/>
      <c r="CL61" s="180"/>
    </row>
    <row r="62" spans="1:90">
      <c r="A62" s="93">
        <f>ROWS($A$3:A60)</f>
        <v>58</v>
      </c>
      <c r="B62" s="106" t="s">
        <v>59</v>
      </c>
      <c r="C62" s="242">
        <v>2002</v>
      </c>
      <c r="D62" s="314" t="s">
        <v>14</v>
      </c>
      <c r="E62" s="316">
        <v>40694</v>
      </c>
      <c r="F62" s="156">
        <v>864</v>
      </c>
      <c r="G62" s="177">
        <v>332</v>
      </c>
      <c r="H62" s="177">
        <v>1022</v>
      </c>
      <c r="I62" s="178">
        <v>345</v>
      </c>
      <c r="J62" s="181"/>
      <c r="K62" s="156">
        <f t="shared" si="111"/>
        <v>82</v>
      </c>
      <c r="L62" s="177">
        <f t="shared" si="112"/>
        <v>209</v>
      </c>
      <c r="M62" s="177">
        <f t="shared" si="113"/>
        <v>58</v>
      </c>
      <c r="N62" s="177">
        <f t="shared" si="114"/>
        <v>36</v>
      </c>
      <c r="O62" s="177">
        <f t="shared" si="115"/>
        <v>13</v>
      </c>
      <c r="P62" s="177">
        <f t="shared" si="116"/>
        <v>143</v>
      </c>
      <c r="Q62" s="177">
        <f>'2001'!AU62</f>
        <v>31</v>
      </c>
      <c r="R62" s="177">
        <f t="shared" si="117"/>
        <v>51</v>
      </c>
      <c r="S62" s="177">
        <f t="shared" si="118"/>
        <v>44</v>
      </c>
      <c r="T62" s="177">
        <f t="shared" si="119"/>
        <v>96</v>
      </c>
      <c r="U62" s="179">
        <f t="shared" si="119"/>
        <v>101</v>
      </c>
      <c r="V62" s="177">
        <f t="shared" si="120"/>
        <v>63</v>
      </c>
      <c r="W62" s="177">
        <f t="shared" si="121"/>
        <v>41</v>
      </c>
      <c r="X62" s="177">
        <f t="shared" si="122"/>
        <v>43</v>
      </c>
      <c r="Y62" s="177">
        <f t="shared" si="123"/>
        <v>57</v>
      </c>
      <c r="Z62" s="177">
        <f t="shared" si="124"/>
        <v>38</v>
      </c>
      <c r="AA62" s="177">
        <f t="shared" si="125"/>
        <v>36</v>
      </c>
      <c r="AB62" s="179">
        <f t="shared" si="126"/>
        <v>54</v>
      </c>
      <c r="AC62" s="177">
        <f t="shared" si="127"/>
        <v>126</v>
      </c>
      <c r="AD62" s="177">
        <f t="shared" si="128"/>
        <v>84</v>
      </c>
      <c r="AE62" s="177">
        <f t="shared" si="129"/>
        <v>125</v>
      </c>
      <c r="AF62" s="177">
        <f t="shared" si="130"/>
        <v>114</v>
      </c>
      <c r="AG62" s="177">
        <f t="shared" si="131"/>
        <v>158</v>
      </c>
      <c r="AH62" s="177">
        <f t="shared" si="132"/>
        <v>108</v>
      </c>
      <c r="AI62" s="177">
        <f t="shared" si="133"/>
        <v>44</v>
      </c>
      <c r="AJ62" s="177">
        <f t="shared" si="134"/>
        <v>68</v>
      </c>
      <c r="AK62" s="179">
        <f t="shared" si="135"/>
        <v>195</v>
      </c>
      <c r="AL62" s="177">
        <f t="shared" si="136"/>
        <v>32</v>
      </c>
      <c r="AM62" s="177">
        <f t="shared" si="137"/>
        <v>54</v>
      </c>
      <c r="AN62" s="177">
        <f t="shared" si="138"/>
        <v>76</v>
      </c>
      <c r="AO62" s="177">
        <f t="shared" si="139"/>
        <v>36</v>
      </c>
      <c r="AP62" s="177">
        <f t="shared" si="139"/>
        <v>12</v>
      </c>
      <c r="AQ62" s="177">
        <f t="shared" si="140"/>
        <v>63</v>
      </c>
      <c r="AR62" s="177">
        <f t="shared" si="141"/>
        <v>33</v>
      </c>
      <c r="AS62" s="178">
        <f t="shared" si="142"/>
        <v>39</v>
      </c>
      <c r="AT62" s="181">
        <v>3</v>
      </c>
      <c r="AU62" s="181">
        <v>31</v>
      </c>
      <c r="AV62" s="181">
        <v>44</v>
      </c>
      <c r="AW62" s="181">
        <v>36</v>
      </c>
      <c r="AX62" s="181">
        <v>48</v>
      </c>
      <c r="AY62" s="177">
        <v>209</v>
      </c>
      <c r="AZ62" s="177">
        <v>10</v>
      </c>
      <c r="BA62" s="177">
        <v>133</v>
      </c>
      <c r="BB62" s="177">
        <v>96</v>
      </c>
      <c r="BC62" s="177">
        <v>101</v>
      </c>
      <c r="BD62" s="177">
        <v>58</v>
      </c>
      <c r="BE62" s="177">
        <v>13</v>
      </c>
      <c r="BF62" s="179">
        <v>82</v>
      </c>
      <c r="BG62" s="177">
        <v>6</v>
      </c>
      <c r="BH62" s="177">
        <v>3</v>
      </c>
      <c r="BI62" s="177">
        <v>40</v>
      </c>
      <c r="BJ62" s="177">
        <v>57</v>
      </c>
      <c r="BK62" s="177">
        <v>6</v>
      </c>
      <c r="BL62" s="177">
        <v>3</v>
      </c>
      <c r="BM62" s="177">
        <v>38</v>
      </c>
      <c r="BN62" s="177">
        <v>48</v>
      </c>
      <c r="BO62" s="177">
        <v>1</v>
      </c>
      <c r="BP62" s="177">
        <v>54</v>
      </c>
      <c r="BQ62" s="177">
        <v>35</v>
      </c>
      <c r="BR62" s="179">
        <v>41</v>
      </c>
      <c r="BS62" s="177">
        <v>8</v>
      </c>
      <c r="BT62" s="177">
        <v>117</v>
      </c>
      <c r="BU62" s="177">
        <v>84</v>
      </c>
      <c r="BV62" s="177">
        <v>158</v>
      </c>
      <c r="BW62" s="177">
        <v>44</v>
      </c>
      <c r="BX62" s="177">
        <v>126</v>
      </c>
      <c r="BY62" s="177">
        <v>68</v>
      </c>
      <c r="BZ62" s="177">
        <v>108</v>
      </c>
      <c r="CA62" s="177">
        <v>114</v>
      </c>
      <c r="CB62" s="179">
        <v>195</v>
      </c>
      <c r="CC62" s="177">
        <v>36</v>
      </c>
      <c r="CD62" s="177">
        <v>12</v>
      </c>
      <c r="CE62" s="177">
        <v>32</v>
      </c>
      <c r="CF62" s="177">
        <v>2</v>
      </c>
      <c r="CG62" s="177">
        <v>37</v>
      </c>
      <c r="CH62" s="177">
        <v>54</v>
      </c>
      <c r="CI62" s="177">
        <v>33</v>
      </c>
      <c r="CJ62" s="177">
        <v>76</v>
      </c>
      <c r="CK62" s="178">
        <v>63</v>
      </c>
      <c r="CL62" s="180">
        <v>2563</v>
      </c>
    </row>
    <row r="63" spans="1:90">
      <c r="A63" s="93">
        <f>ROWS($A$3:A61)</f>
        <v>59</v>
      </c>
      <c r="B63" s="106"/>
      <c r="C63" s="243"/>
      <c r="D63" s="314" t="s">
        <v>1</v>
      </c>
      <c r="E63" s="333"/>
      <c r="F63" s="156">
        <v>257350</v>
      </c>
      <c r="G63" s="177">
        <v>180750</v>
      </c>
      <c r="H63" s="177">
        <v>142320</v>
      </c>
      <c r="I63" s="178">
        <v>241572</v>
      </c>
      <c r="J63" s="181"/>
      <c r="K63" s="156">
        <f t="shared" si="111"/>
        <v>40470</v>
      </c>
      <c r="L63" s="177">
        <f t="shared" si="112"/>
        <v>6740</v>
      </c>
      <c r="M63" s="177">
        <f t="shared" si="113"/>
        <v>45490</v>
      </c>
      <c r="N63" s="177">
        <f t="shared" si="114"/>
        <v>16000</v>
      </c>
      <c r="O63" s="177">
        <f t="shared" si="115"/>
        <v>57990</v>
      </c>
      <c r="P63" s="177">
        <f t="shared" si="116"/>
        <v>21390</v>
      </c>
      <c r="Q63" s="177">
        <f>'2001'!AU63</f>
        <v>24760</v>
      </c>
      <c r="R63" s="177">
        <f t="shared" si="117"/>
        <v>16190</v>
      </c>
      <c r="S63" s="177">
        <f t="shared" si="118"/>
        <v>9990</v>
      </c>
      <c r="T63" s="177">
        <f t="shared" si="119"/>
        <v>12510</v>
      </c>
      <c r="U63" s="179">
        <f t="shared" si="119"/>
        <v>5820</v>
      </c>
      <c r="V63" s="177">
        <f t="shared" si="120"/>
        <v>13660</v>
      </c>
      <c r="W63" s="177">
        <f t="shared" si="121"/>
        <v>14470</v>
      </c>
      <c r="X63" s="177">
        <f t="shared" si="122"/>
        <v>35770</v>
      </c>
      <c r="Y63" s="177">
        <f t="shared" si="123"/>
        <v>40760</v>
      </c>
      <c r="Z63" s="177">
        <f t="shared" si="124"/>
        <v>29930</v>
      </c>
      <c r="AA63" s="177">
        <f t="shared" si="125"/>
        <v>25600</v>
      </c>
      <c r="AB63" s="179">
        <f t="shared" si="126"/>
        <v>20560</v>
      </c>
      <c r="AC63" s="177">
        <f t="shared" si="127"/>
        <v>16580</v>
      </c>
      <c r="AD63" s="177">
        <f t="shared" si="128"/>
        <v>8020</v>
      </c>
      <c r="AE63" s="177">
        <f t="shared" si="129"/>
        <v>20390</v>
      </c>
      <c r="AF63" s="177">
        <f t="shared" si="130"/>
        <v>8220</v>
      </c>
      <c r="AG63" s="177">
        <f t="shared" si="131"/>
        <v>17160</v>
      </c>
      <c r="AH63" s="177">
        <f t="shared" si="132"/>
        <v>20870</v>
      </c>
      <c r="AI63" s="177">
        <f t="shared" si="133"/>
        <v>17620</v>
      </c>
      <c r="AJ63" s="177">
        <f t="shared" si="134"/>
        <v>13560</v>
      </c>
      <c r="AK63" s="179">
        <f t="shared" si="135"/>
        <v>19900</v>
      </c>
      <c r="AL63" s="177">
        <f t="shared" si="136"/>
        <v>27090</v>
      </c>
      <c r="AM63" s="177">
        <f t="shared" si="137"/>
        <v>22910</v>
      </c>
      <c r="AN63" s="177">
        <f t="shared" si="138"/>
        <v>11690</v>
      </c>
      <c r="AO63" s="177">
        <f t="shared" si="139"/>
        <v>51400</v>
      </c>
      <c r="AP63" s="177">
        <f t="shared" si="139"/>
        <v>7270</v>
      </c>
      <c r="AQ63" s="177">
        <f t="shared" si="140"/>
        <v>41550</v>
      </c>
      <c r="AR63" s="177">
        <f t="shared" si="141"/>
        <v>7730</v>
      </c>
      <c r="AS63" s="178">
        <f t="shared" si="142"/>
        <v>71932</v>
      </c>
      <c r="AT63" s="177">
        <v>1260</v>
      </c>
      <c r="AU63" s="177">
        <v>24760</v>
      </c>
      <c r="AV63" s="177">
        <v>9990</v>
      </c>
      <c r="AW63" s="177">
        <v>16000</v>
      </c>
      <c r="AX63" s="177">
        <v>14930</v>
      </c>
      <c r="AY63" s="177">
        <v>6740</v>
      </c>
      <c r="AZ63" s="177">
        <v>1190</v>
      </c>
      <c r="BA63" s="177">
        <v>20200</v>
      </c>
      <c r="BB63" s="177">
        <v>12510</v>
      </c>
      <c r="BC63" s="177">
        <v>5820</v>
      </c>
      <c r="BD63" s="177">
        <v>45490</v>
      </c>
      <c r="BE63" s="177">
        <v>57990</v>
      </c>
      <c r="BF63" s="179">
        <v>40470</v>
      </c>
      <c r="BG63" s="177">
        <v>1430</v>
      </c>
      <c r="BH63" s="177">
        <v>5710</v>
      </c>
      <c r="BI63" s="177">
        <v>30060</v>
      </c>
      <c r="BJ63" s="177">
        <v>12230</v>
      </c>
      <c r="BK63" s="177">
        <v>4130</v>
      </c>
      <c r="BL63" s="177">
        <v>3360</v>
      </c>
      <c r="BM63" s="177">
        <v>29930</v>
      </c>
      <c r="BN63" s="177">
        <v>33270</v>
      </c>
      <c r="BO63" s="177">
        <v>2880</v>
      </c>
      <c r="BP63" s="177">
        <v>20560</v>
      </c>
      <c r="BQ63" s="177">
        <v>22720</v>
      </c>
      <c r="BR63" s="179">
        <v>14470</v>
      </c>
      <c r="BS63" s="177">
        <v>1710</v>
      </c>
      <c r="BT63" s="177">
        <v>18680</v>
      </c>
      <c r="BU63" s="177">
        <v>8020</v>
      </c>
      <c r="BV63" s="177">
        <v>17160</v>
      </c>
      <c r="BW63" s="177">
        <v>17620</v>
      </c>
      <c r="BX63" s="177">
        <v>16580</v>
      </c>
      <c r="BY63" s="177">
        <v>13560</v>
      </c>
      <c r="BZ63" s="177">
        <v>20870</v>
      </c>
      <c r="CA63" s="177">
        <v>8220</v>
      </c>
      <c r="CB63" s="179">
        <v>19900</v>
      </c>
      <c r="CC63" s="177">
        <v>51400</v>
      </c>
      <c r="CD63" s="177">
        <v>7270</v>
      </c>
      <c r="CE63" s="177">
        <v>27090</v>
      </c>
      <c r="CF63" s="177">
        <v>630</v>
      </c>
      <c r="CG63" s="177">
        <v>71302</v>
      </c>
      <c r="CH63" s="177">
        <v>22910</v>
      </c>
      <c r="CI63" s="177">
        <v>7730</v>
      </c>
      <c r="CJ63" s="177">
        <v>11690</v>
      </c>
      <c r="CK63" s="178">
        <v>41550</v>
      </c>
      <c r="CL63" s="180">
        <v>821992</v>
      </c>
    </row>
    <row r="64" spans="1:90">
      <c r="A64" s="93">
        <f>ROWS($A$3:A62)</f>
        <v>60</v>
      </c>
      <c r="B64" s="67" t="s">
        <v>86</v>
      </c>
      <c r="C64" s="243"/>
      <c r="D64" s="314"/>
      <c r="E64" s="333"/>
      <c r="F64" s="156"/>
      <c r="G64" s="177"/>
      <c r="H64" s="177"/>
      <c r="I64" s="178"/>
      <c r="J64" s="181"/>
      <c r="K64" s="156"/>
      <c r="L64" s="177"/>
      <c r="M64" s="177"/>
      <c r="N64" s="177"/>
      <c r="O64" s="177"/>
      <c r="P64" s="177"/>
      <c r="Q64" s="177"/>
      <c r="R64" s="177"/>
      <c r="S64" s="177"/>
      <c r="T64" s="177"/>
      <c r="U64" s="179"/>
      <c r="V64" s="177"/>
      <c r="W64" s="177"/>
      <c r="X64" s="177"/>
      <c r="Y64" s="177"/>
      <c r="Z64" s="177"/>
      <c r="AA64" s="177"/>
      <c r="AB64" s="179"/>
      <c r="AC64" s="177"/>
      <c r="AD64" s="177"/>
      <c r="AE64" s="177"/>
      <c r="AF64" s="177"/>
      <c r="AG64" s="177"/>
      <c r="AH64" s="177"/>
      <c r="AI64" s="177"/>
      <c r="AJ64" s="177"/>
      <c r="AK64" s="179"/>
      <c r="AL64" s="177"/>
      <c r="AM64" s="177"/>
      <c r="AN64" s="177"/>
      <c r="AO64" s="177"/>
      <c r="AP64" s="177"/>
      <c r="AQ64" s="177"/>
      <c r="AR64" s="177"/>
      <c r="AS64" s="178"/>
      <c r="AT64" s="177"/>
      <c r="AU64" s="177"/>
      <c r="AV64" s="177"/>
      <c r="AW64" s="177"/>
      <c r="AX64" s="177"/>
      <c r="AY64" s="177"/>
      <c r="AZ64" s="177"/>
      <c r="BA64" s="177"/>
      <c r="BB64" s="177"/>
      <c r="BC64" s="177"/>
      <c r="BD64" s="177"/>
      <c r="BE64" s="177"/>
      <c r="BF64" s="179"/>
      <c r="BG64" s="177"/>
      <c r="BH64" s="177"/>
      <c r="BI64" s="177"/>
      <c r="BJ64" s="177"/>
      <c r="BK64" s="177"/>
      <c r="BL64" s="177"/>
      <c r="BM64" s="177"/>
      <c r="BN64" s="177"/>
      <c r="BO64" s="177"/>
      <c r="BP64" s="177"/>
      <c r="BQ64" s="177"/>
      <c r="BR64" s="179"/>
      <c r="BS64" s="177"/>
      <c r="BT64" s="177"/>
      <c r="BU64" s="177"/>
      <c r="BV64" s="177"/>
      <c r="BW64" s="177"/>
      <c r="BX64" s="177"/>
      <c r="BY64" s="177"/>
      <c r="BZ64" s="177"/>
      <c r="CA64" s="177"/>
      <c r="CB64" s="179"/>
      <c r="CC64" s="177"/>
      <c r="CD64" s="177"/>
      <c r="CE64" s="177"/>
      <c r="CF64" s="177"/>
      <c r="CG64" s="177"/>
      <c r="CH64" s="177"/>
      <c r="CI64" s="177"/>
      <c r="CJ64" s="177"/>
      <c r="CK64" s="178"/>
      <c r="CL64" s="180"/>
    </row>
    <row r="65" spans="1:90">
      <c r="A65" s="93">
        <f>ROWS($A$3:A63)</f>
        <v>61</v>
      </c>
      <c r="B65" s="62" t="s">
        <v>85</v>
      </c>
      <c r="C65" s="242">
        <v>2002</v>
      </c>
      <c r="D65" s="314" t="s">
        <v>62</v>
      </c>
      <c r="E65" s="333"/>
      <c r="F65" s="182">
        <f t="shared" ref="F65:AK65" si="143">F35*F93%</f>
        <v>298109.80800000002</v>
      </c>
      <c r="G65" s="183">
        <f t="shared" si="143"/>
        <v>85070.152999999991</v>
      </c>
      <c r="H65" s="183">
        <f t="shared" si="143"/>
        <v>244065.432</v>
      </c>
      <c r="I65" s="184">
        <f t="shared" si="143"/>
        <v>250859.14300000004</v>
      </c>
      <c r="J65" s="181">
        <f t="shared" si="143"/>
        <v>0</v>
      </c>
      <c r="K65" s="185">
        <f t="shared" si="143"/>
        <v>65017.415999999997</v>
      </c>
      <c r="L65" s="186">
        <f t="shared" si="143"/>
        <v>18941.64</v>
      </c>
      <c r="M65" s="186">
        <f t="shared" si="143"/>
        <v>48053.254000000001</v>
      </c>
      <c r="N65" s="186">
        <f t="shared" si="143"/>
        <v>21412.331999999999</v>
      </c>
      <c r="O65" s="186">
        <f t="shared" si="143"/>
        <v>14838.864000000001</v>
      </c>
      <c r="P65" s="177">
        <f t="shared" si="143"/>
        <v>5520.9000000000005</v>
      </c>
      <c r="Q65" s="186">
        <f t="shared" si="143"/>
        <v>11822.720000000001</v>
      </c>
      <c r="R65" s="186">
        <f t="shared" si="143"/>
        <v>267.86400000000003</v>
      </c>
      <c r="S65" s="186">
        <f t="shared" si="143"/>
        <v>12772.206</v>
      </c>
      <c r="T65" s="186">
        <f t="shared" si="143"/>
        <v>24140.639999999999</v>
      </c>
      <c r="U65" s="187">
        <f t="shared" si="143"/>
        <v>73756.572</v>
      </c>
      <c r="V65" s="186">
        <f t="shared" si="143"/>
        <v>3667.95</v>
      </c>
      <c r="W65" s="186">
        <f t="shared" si="143"/>
        <v>17402.481000000003</v>
      </c>
      <c r="X65" s="186">
        <f t="shared" si="143"/>
        <v>2005.7319999999997</v>
      </c>
      <c r="Y65" s="186">
        <f t="shared" si="143"/>
        <v>3944.2379999999998</v>
      </c>
      <c r="Z65" s="186">
        <f t="shared" si="143"/>
        <v>31955.195999999996</v>
      </c>
      <c r="AA65" s="186">
        <f t="shared" si="143"/>
        <v>8156.1750000000011</v>
      </c>
      <c r="AB65" s="187">
        <f t="shared" si="143"/>
        <v>13450.36</v>
      </c>
      <c r="AC65" s="186">
        <f t="shared" si="143"/>
        <v>40565</v>
      </c>
      <c r="AD65" s="186">
        <f t="shared" si="143"/>
        <v>11579.699999999999</v>
      </c>
      <c r="AE65" s="186">
        <f t="shared" si="143"/>
        <v>26117.631000000001</v>
      </c>
      <c r="AF65" s="186">
        <f t="shared" si="143"/>
        <v>15091.544</v>
      </c>
      <c r="AG65" s="186">
        <f t="shared" si="143"/>
        <v>27856.584000000003</v>
      </c>
      <c r="AH65" s="186">
        <f t="shared" si="143"/>
        <v>22121.883000000002</v>
      </c>
      <c r="AI65" s="186">
        <f t="shared" si="143"/>
        <v>31842</v>
      </c>
      <c r="AJ65" s="186">
        <f t="shared" si="143"/>
        <v>25305</v>
      </c>
      <c r="AK65" s="187">
        <f t="shared" si="143"/>
        <v>40711.498</v>
      </c>
      <c r="AL65" s="186">
        <f t="shared" ref="AL65:BQ65" si="144">AL35*AL93%</f>
        <v>34389.19</v>
      </c>
      <c r="AM65" s="186">
        <f t="shared" si="144"/>
        <v>16772.25</v>
      </c>
      <c r="AN65" s="186">
        <f t="shared" si="144"/>
        <v>55641.907999999996</v>
      </c>
      <c r="AO65" s="186">
        <f t="shared" si="144"/>
        <v>42473.561999999998</v>
      </c>
      <c r="AP65" s="186">
        <f t="shared" si="144"/>
        <v>10944.923000000001</v>
      </c>
      <c r="AQ65" s="186">
        <f t="shared" si="144"/>
        <v>42902.73</v>
      </c>
      <c r="AR65" s="186">
        <f t="shared" si="144"/>
        <v>10335.324999999999</v>
      </c>
      <c r="AS65" s="190">
        <f t="shared" si="144"/>
        <v>35975.922000000006</v>
      </c>
      <c r="AT65" s="186">
        <f t="shared" si="144"/>
        <v>0</v>
      </c>
      <c r="AU65" s="183">
        <f t="shared" si="144"/>
        <v>11822.720000000001</v>
      </c>
      <c r="AV65" s="183">
        <f t="shared" si="144"/>
        <v>12772.206</v>
      </c>
      <c r="AW65" s="183">
        <f t="shared" si="144"/>
        <v>21412.331999999999</v>
      </c>
      <c r="AX65" s="183">
        <f t="shared" si="144"/>
        <v>267.86400000000003</v>
      </c>
      <c r="AY65" s="183">
        <f t="shared" si="144"/>
        <v>18941.64</v>
      </c>
      <c r="AZ65" s="183">
        <f t="shared" si="144"/>
        <v>0</v>
      </c>
      <c r="BA65" s="183">
        <f t="shared" si="144"/>
        <v>5520.9000000000005</v>
      </c>
      <c r="BB65" s="183">
        <f t="shared" si="144"/>
        <v>24140.639999999999</v>
      </c>
      <c r="BC65" s="183">
        <f t="shared" si="144"/>
        <v>73756.572</v>
      </c>
      <c r="BD65" s="183">
        <f t="shared" si="144"/>
        <v>48053.254000000001</v>
      </c>
      <c r="BE65" s="183">
        <f t="shared" si="144"/>
        <v>14838.864000000001</v>
      </c>
      <c r="BF65" s="188">
        <f t="shared" si="144"/>
        <v>65017.415999999997</v>
      </c>
      <c r="BG65" s="183">
        <f t="shared" si="144"/>
        <v>0</v>
      </c>
      <c r="BH65" s="183">
        <f t="shared" si="144"/>
        <v>0</v>
      </c>
      <c r="BI65" s="183">
        <f t="shared" si="144"/>
        <v>2005.732</v>
      </c>
      <c r="BJ65" s="183">
        <f t="shared" si="144"/>
        <v>3667.95</v>
      </c>
      <c r="BK65" s="183">
        <f t="shared" si="144"/>
        <v>0</v>
      </c>
      <c r="BL65" s="183">
        <f t="shared" si="144"/>
        <v>0</v>
      </c>
      <c r="BM65" s="183">
        <f t="shared" si="144"/>
        <v>31955.195999999996</v>
      </c>
      <c r="BN65" s="183">
        <f t="shared" si="144"/>
        <v>3944.2379999999998</v>
      </c>
      <c r="BO65" s="183">
        <f t="shared" si="144"/>
        <v>0</v>
      </c>
      <c r="BP65" s="183">
        <f t="shared" si="144"/>
        <v>13450.36</v>
      </c>
      <c r="BQ65" s="183">
        <f t="shared" si="144"/>
        <v>8156.1750000000002</v>
      </c>
      <c r="BR65" s="188">
        <f t="shared" ref="BR65:CL65" si="145">BR35*BR93%</f>
        <v>17402.481000000003</v>
      </c>
      <c r="BS65" s="183">
        <f t="shared" si="145"/>
        <v>0</v>
      </c>
      <c r="BT65" s="183">
        <f t="shared" si="145"/>
        <v>26117.631000000001</v>
      </c>
      <c r="BU65" s="183">
        <f t="shared" si="145"/>
        <v>11579.699999999999</v>
      </c>
      <c r="BV65" s="183">
        <f t="shared" si="145"/>
        <v>27856.584000000003</v>
      </c>
      <c r="BW65" s="183">
        <f t="shared" si="145"/>
        <v>31842</v>
      </c>
      <c r="BX65" s="183">
        <f t="shared" si="145"/>
        <v>40565</v>
      </c>
      <c r="BY65" s="183">
        <f t="shared" si="145"/>
        <v>25305</v>
      </c>
      <c r="BZ65" s="183">
        <f t="shared" si="145"/>
        <v>22121.883000000002</v>
      </c>
      <c r="CA65" s="183">
        <f t="shared" si="145"/>
        <v>15091.544</v>
      </c>
      <c r="CB65" s="188">
        <f t="shared" si="145"/>
        <v>40711.498</v>
      </c>
      <c r="CC65" s="183">
        <f t="shared" si="145"/>
        <v>42473.561999999998</v>
      </c>
      <c r="CD65" s="183">
        <f t="shared" si="145"/>
        <v>10944.923000000001</v>
      </c>
      <c r="CE65" s="183">
        <f t="shared" si="145"/>
        <v>34389.19</v>
      </c>
      <c r="CF65" s="183">
        <f t="shared" si="145"/>
        <v>0</v>
      </c>
      <c r="CG65" s="183">
        <f t="shared" si="145"/>
        <v>35975.921999999999</v>
      </c>
      <c r="CH65" s="183">
        <f t="shared" si="145"/>
        <v>16772.25</v>
      </c>
      <c r="CI65" s="183">
        <f t="shared" si="145"/>
        <v>10335.324999999999</v>
      </c>
      <c r="CJ65" s="183">
        <f t="shared" si="145"/>
        <v>55641.907999999996</v>
      </c>
      <c r="CK65" s="184">
        <f t="shared" si="145"/>
        <v>42902.73</v>
      </c>
      <c r="CL65" s="189">
        <f t="shared" si="145"/>
        <v>880636.88599999994</v>
      </c>
    </row>
    <row r="66" spans="1:90">
      <c r="A66" s="93">
        <f>ROWS($A$3:A64)</f>
        <v>62</v>
      </c>
      <c r="B66" s="106" t="s">
        <v>281</v>
      </c>
      <c r="C66" s="243"/>
      <c r="D66" s="314" t="s">
        <v>56</v>
      </c>
      <c r="E66" s="333"/>
      <c r="F66" s="156">
        <v>205496</v>
      </c>
      <c r="G66" s="177">
        <v>56031</v>
      </c>
      <c r="H66" s="177">
        <v>125258</v>
      </c>
      <c r="I66" s="178">
        <v>179548</v>
      </c>
      <c r="J66" s="181"/>
      <c r="K66" s="156">
        <f>BF66</f>
        <v>48389</v>
      </c>
      <c r="L66" s="177">
        <f>AY66</f>
        <v>12586</v>
      </c>
      <c r="M66" s="177">
        <f>BD66</f>
        <v>33341</v>
      </c>
      <c r="N66" s="177">
        <f>AW66</f>
        <v>13666</v>
      </c>
      <c r="O66" s="177">
        <f>BE66</f>
        <v>11716</v>
      </c>
      <c r="P66" s="177">
        <f>AZ66+BA66</f>
        <v>2908</v>
      </c>
      <c r="Q66" s="177">
        <f>AU66</f>
        <v>8577</v>
      </c>
      <c r="R66" s="177">
        <f>AT66+AX66</f>
        <v>710</v>
      </c>
      <c r="S66" s="177">
        <f>AV66</f>
        <v>6985</v>
      </c>
      <c r="T66" s="177">
        <f>BB66</f>
        <v>15249</v>
      </c>
      <c r="U66" s="179">
        <f>BC66</f>
        <v>51366</v>
      </c>
      <c r="V66" s="177">
        <f>BG66+BJ66</f>
        <v>2042</v>
      </c>
      <c r="W66" s="177">
        <f>BR66</f>
        <v>12450</v>
      </c>
      <c r="X66" s="177">
        <f>BH66+BI66</f>
        <v>1468</v>
      </c>
      <c r="Y66" s="177">
        <f>BK66+BL66+BN66</f>
        <v>3148</v>
      </c>
      <c r="Z66" s="177">
        <f>BM66</f>
        <v>21791</v>
      </c>
      <c r="AA66" s="177">
        <f>BO66+BQ66</f>
        <v>5721</v>
      </c>
      <c r="AB66" s="179">
        <f>BP66</f>
        <v>9406</v>
      </c>
      <c r="AC66" s="177">
        <f>BX66</f>
        <v>21381</v>
      </c>
      <c r="AD66" s="177">
        <f>BU66</f>
        <v>6540</v>
      </c>
      <c r="AE66" s="177">
        <f>BS66+BT66</f>
        <v>4974</v>
      </c>
      <c r="AF66" s="177">
        <f>CA66</f>
        <v>4100</v>
      </c>
      <c r="AG66" s="177">
        <f>BV66</f>
        <v>16194</v>
      </c>
      <c r="AH66" s="177">
        <f>BZ66</f>
        <v>16214</v>
      </c>
      <c r="AI66" s="177">
        <f>BW66</f>
        <v>22981</v>
      </c>
      <c r="AJ66" s="177">
        <f>BY66</f>
        <v>12970</v>
      </c>
      <c r="AK66" s="179">
        <f>CB66</f>
        <v>19899</v>
      </c>
      <c r="AL66" s="177">
        <f>CE66</f>
        <v>16460</v>
      </c>
      <c r="AM66" s="177">
        <f>CH66</f>
        <v>11908</v>
      </c>
      <c r="AN66" s="177">
        <f>CJ66</f>
        <v>47515</v>
      </c>
      <c r="AO66" s="177">
        <f>CC66</f>
        <v>33535</v>
      </c>
      <c r="AP66" s="177">
        <f>CD66</f>
        <v>7322</v>
      </c>
      <c r="AQ66" s="177">
        <f>CK66</f>
        <v>29893</v>
      </c>
      <c r="AR66" s="177">
        <f>CI66</f>
        <v>6394</v>
      </c>
      <c r="AS66" s="178">
        <f>CF66+CG66</f>
        <v>26517</v>
      </c>
      <c r="AT66" s="181">
        <v>0</v>
      </c>
      <c r="AU66" s="177">
        <v>8577</v>
      </c>
      <c r="AV66" s="177">
        <v>6985</v>
      </c>
      <c r="AW66" s="181">
        <v>13666</v>
      </c>
      <c r="AX66" s="177">
        <v>710</v>
      </c>
      <c r="AY66" s="177">
        <v>12586</v>
      </c>
      <c r="AZ66" s="177">
        <v>21</v>
      </c>
      <c r="BA66" s="177">
        <v>2887</v>
      </c>
      <c r="BB66" s="177">
        <v>15249</v>
      </c>
      <c r="BC66" s="177">
        <v>51366</v>
      </c>
      <c r="BD66" s="177">
        <v>33341</v>
      </c>
      <c r="BE66" s="177">
        <v>11716</v>
      </c>
      <c r="BF66" s="179">
        <v>48389</v>
      </c>
      <c r="BG66" s="177">
        <v>539</v>
      </c>
      <c r="BH66" s="177">
        <v>0</v>
      </c>
      <c r="BI66" s="177">
        <v>1468</v>
      </c>
      <c r="BJ66" s="177">
        <v>1503</v>
      </c>
      <c r="BK66" s="177">
        <v>120</v>
      </c>
      <c r="BL66" s="177">
        <v>9</v>
      </c>
      <c r="BM66" s="177">
        <v>21791</v>
      </c>
      <c r="BN66" s="177">
        <v>3019</v>
      </c>
      <c r="BO66" s="177">
        <v>205</v>
      </c>
      <c r="BP66" s="177">
        <v>9406</v>
      </c>
      <c r="BQ66" s="177">
        <v>5516</v>
      </c>
      <c r="BR66" s="179">
        <v>12450</v>
      </c>
      <c r="BS66" s="177">
        <v>143</v>
      </c>
      <c r="BT66" s="177">
        <v>4831</v>
      </c>
      <c r="BU66" s="177">
        <v>6540</v>
      </c>
      <c r="BV66" s="177">
        <v>16194</v>
      </c>
      <c r="BW66" s="177">
        <v>22981</v>
      </c>
      <c r="BX66" s="177">
        <v>21381</v>
      </c>
      <c r="BY66" s="177">
        <v>12970</v>
      </c>
      <c r="BZ66" s="177">
        <v>16214</v>
      </c>
      <c r="CA66" s="177">
        <v>4100</v>
      </c>
      <c r="CB66" s="179">
        <v>19899</v>
      </c>
      <c r="CC66" s="177">
        <v>33535</v>
      </c>
      <c r="CD66" s="177">
        <v>7322</v>
      </c>
      <c r="CE66" s="177">
        <v>16460</v>
      </c>
      <c r="CF66" s="177">
        <v>230</v>
      </c>
      <c r="CG66" s="177">
        <v>26287</v>
      </c>
      <c r="CH66" s="177">
        <v>11908</v>
      </c>
      <c r="CI66" s="177">
        <v>6394</v>
      </c>
      <c r="CJ66" s="177">
        <v>47515</v>
      </c>
      <c r="CK66" s="178">
        <v>29893</v>
      </c>
      <c r="CL66" s="180">
        <v>566334</v>
      </c>
    </row>
    <row r="67" spans="1:90">
      <c r="A67" s="93">
        <f>ROWS($A$3:A65)</f>
        <v>63</v>
      </c>
      <c r="B67" s="106" t="s">
        <v>282</v>
      </c>
      <c r="C67" s="243"/>
      <c r="D67" s="314" t="s">
        <v>56</v>
      </c>
      <c r="E67" s="333"/>
      <c r="F67" s="156">
        <v>5519</v>
      </c>
      <c r="G67" s="177">
        <v>2144</v>
      </c>
      <c r="H67" s="177">
        <v>69655</v>
      </c>
      <c r="I67" s="178">
        <v>19501</v>
      </c>
      <c r="J67" s="181"/>
      <c r="K67" s="156">
        <f>BF67</f>
        <v>501</v>
      </c>
      <c r="L67" s="177">
        <f>AY67</f>
        <v>5</v>
      </c>
      <c r="M67" s="177">
        <f>BD67</f>
        <v>0</v>
      </c>
      <c r="N67" s="177">
        <f>AW67</f>
        <v>4006</v>
      </c>
      <c r="O67" s="177">
        <f>BE67</f>
        <v>0</v>
      </c>
      <c r="P67" s="177">
        <f>AZ67+BA67</f>
        <v>234</v>
      </c>
      <c r="Q67" s="177">
        <f>AU67</f>
        <v>0</v>
      </c>
      <c r="R67" s="177">
        <f>AT67+AX67</f>
        <v>184</v>
      </c>
      <c r="S67" s="177">
        <f>AV67</f>
        <v>586</v>
      </c>
      <c r="T67" s="177">
        <f>BB67</f>
        <v>0</v>
      </c>
      <c r="U67" s="179">
        <f>BC67</f>
        <v>0</v>
      </c>
      <c r="V67" s="177">
        <f>BG67+BJ67</f>
        <v>156</v>
      </c>
      <c r="W67" s="177">
        <f>BR67</f>
        <v>1363</v>
      </c>
      <c r="X67" s="177">
        <f>BH67+BI67</f>
        <v>0</v>
      </c>
      <c r="Y67" s="177">
        <f>BK67+BL67+BN67</f>
        <v>0</v>
      </c>
      <c r="Z67" s="177">
        <f>BM67</f>
        <v>0</v>
      </c>
      <c r="AA67" s="177">
        <f>BO67+BQ67</f>
        <v>70</v>
      </c>
      <c r="AB67" s="179">
        <f>BP67</f>
        <v>84</v>
      </c>
      <c r="AC67" s="177">
        <f>BX67</f>
        <v>13173</v>
      </c>
      <c r="AD67" s="177">
        <f>BU67</f>
        <v>2547</v>
      </c>
      <c r="AE67" s="177">
        <f>BS67+BT67</f>
        <v>19087</v>
      </c>
      <c r="AF67" s="177">
        <f>CA67</f>
        <v>8511</v>
      </c>
      <c r="AG67" s="177">
        <f>BV67</f>
        <v>2551</v>
      </c>
      <c r="AH67" s="177">
        <f>BZ67</f>
        <v>0</v>
      </c>
      <c r="AI67" s="177">
        <f>BW67</f>
        <v>2315</v>
      </c>
      <c r="AJ67" s="177">
        <f>BY67</f>
        <v>8845</v>
      </c>
      <c r="AK67" s="179">
        <f>CB67</f>
        <v>12623</v>
      </c>
      <c r="AL67" s="177">
        <f>CE67</f>
        <v>12541</v>
      </c>
      <c r="AM67" s="177">
        <f>CH67</f>
        <v>18</v>
      </c>
      <c r="AN67" s="177">
        <f>CJ67</f>
        <v>1749</v>
      </c>
      <c r="AO67" s="177">
        <f>CC67</f>
        <v>828</v>
      </c>
      <c r="AP67" s="177">
        <f>CD67</f>
        <v>236</v>
      </c>
      <c r="AQ67" s="177">
        <f>CK67</f>
        <v>2117</v>
      </c>
      <c r="AR67" s="177">
        <f>CI67</f>
        <v>659</v>
      </c>
      <c r="AS67" s="178">
        <f>CF67+CG67</f>
        <v>1350</v>
      </c>
      <c r="AT67" s="181">
        <v>0</v>
      </c>
      <c r="AU67" s="181">
        <v>0</v>
      </c>
      <c r="AV67" s="181">
        <v>586</v>
      </c>
      <c r="AW67" s="181">
        <v>4006</v>
      </c>
      <c r="AX67" s="181">
        <v>184</v>
      </c>
      <c r="AY67" s="177">
        <v>5</v>
      </c>
      <c r="AZ67" s="177">
        <v>0</v>
      </c>
      <c r="BA67" s="177">
        <v>234</v>
      </c>
      <c r="BB67" s="177">
        <v>0</v>
      </c>
      <c r="BC67" s="177">
        <v>0</v>
      </c>
      <c r="BD67" s="177">
        <v>0</v>
      </c>
      <c r="BE67" s="177">
        <v>0</v>
      </c>
      <c r="BF67" s="179">
        <v>501</v>
      </c>
      <c r="BG67" s="177">
        <v>0</v>
      </c>
      <c r="BH67" s="177">
        <v>0</v>
      </c>
      <c r="BI67" s="177">
        <v>0</v>
      </c>
      <c r="BJ67" s="177">
        <v>156</v>
      </c>
      <c r="BK67" s="177">
        <v>0</v>
      </c>
      <c r="BL67" s="177">
        <v>0</v>
      </c>
      <c r="BM67" s="177">
        <v>0</v>
      </c>
      <c r="BN67" s="177">
        <v>0</v>
      </c>
      <c r="BO67" s="177">
        <v>0</v>
      </c>
      <c r="BP67" s="177">
        <v>84</v>
      </c>
      <c r="BQ67" s="177">
        <v>70</v>
      </c>
      <c r="BR67" s="179">
        <v>1363</v>
      </c>
      <c r="BS67" s="177">
        <v>482</v>
      </c>
      <c r="BT67" s="177">
        <v>18605</v>
      </c>
      <c r="BU67" s="177">
        <v>2547</v>
      </c>
      <c r="BV67" s="177">
        <v>2551</v>
      </c>
      <c r="BW67" s="177">
        <v>2315</v>
      </c>
      <c r="BX67" s="177">
        <v>13173</v>
      </c>
      <c r="BY67" s="177">
        <v>8845</v>
      </c>
      <c r="BZ67" s="177">
        <v>0</v>
      </c>
      <c r="CA67" s="177">
        <v>8511</v>
      </c>
      <c r="CB67" s="179">
        <v>12623</v>
      </c>
      <c r="CC67" s="177">
        <v>828</v>
      </c>
      <c r="CD67" s="177">
        <v>236</v>
      </c>
      <c r="CE67" s="177">
        <v>12541</v>
      </c>
      <c r="CF67" s="177">
        <v>0</v>
      </c>
      <c r="CG67" s="177">
        <v>1350</v>
      </c>
      <c r="CH67" s="177">
        <v>18</v>
      </c>
      <c r="CI67" s="177">
        <v>659</v>
      </c>
      <c r="CJ67" s="177">
        <v>1749</v>
      </c>
      <c r="CK67" s="178">
        <v>2117</v>
      </c>
      <c r="CL67" s="180">
        <v>96821</v>
      </c>
    </row>
    <row r="68" spans="1:90">
      <c r="A68" s="93">
        <f>ROWS($A$3:A66)</f>
        <v>64</v>
      </c>
      <c r="B68" s="67" t="s">
        <v>87</v>
      </c>
      <c r="C68" s="243"/>
      <c r="D68" s="314"/>
      <c r="E68" s="333"/>
      <c r="F68" s="156"/>
      <c r="G68" s="177"/>
      <c r="H68" s="177"/>
      <c r="I68" s="178"/>
      <c r="J68" s="181"/>
      <c r="K68" s="156"/>
      <c r="L68" s="177"/>
      <c r="M68" s="177"/>
      <c r="N68" s="177"/>
      <c r="O68" s="177"/>
      <c r="P68" s="177"/>
      <c r="Q68" s="177"/>
      <c r="R68" s="177"/>
      <c r="S68" s="177"/>
      <c r="T68" s="177"/>
      <c r="U68" s="179"/>
      <c r="V68" s="177"/>
      <c r="W68" s="177"/>
      <c r="X68" s="177"/>
      <c r="Y68" s="177"/>
      <c r="Z68" s="177"/>
      <c r="AA68" s="177"/>
      <c r="AB68" s="179"/>
      <c r="AC68" s="177"/>
      <c r="AD68" s="177"/>
      <c r="AE68" s="177"/>
      <c r="AF68" s="177"/>
      <c r="AG68" s="177"/>
      <c r="AH68" s="177"/>
      <c r="AI68" s="177"/>
      <c r="AJ68" s="177"/>
      <c r="AK68" s="179"/>
      <c r="AL68" s="177"/>
      <c r="AM68" s="177"/>
      <c r="AN68" s="177"/>
      <c r="AO68" s="177"/>
      <c r="AP68" s="177"/>
      <c r="AQ68" s="177"/>
      <c r="AR68" s="177"/>
      <c r="AS68" s="178"/>
      <c r="AT68" s="177"/>
      <c r="AU68" s="177"/>
      <c r="AV68" s="177"/>
      <c r="AW68" s="177"/>
      <c r="AX68" s="177"/>
      <c r="AY68" s="177"/>
      <c r="AZ68" s="177"/>
      <c r="BA68" s="177"/>
      <c r="BB68" s="177"/>
      <c r="BC68" s="177"/>
      <c r="BD68" s="177"/>
      <c r="BE68" s="177"/>
      <c r="BF68" s="179"/>
      <c r="BG68" s="177"/>
      <c r="BH68" s="177"/>
      <c r="BI68" s="177"/>
      <c r="BJ68" s="177"/>
      <c r="BK68" s="177"/>
      <c r="BL68" s="177"/>
      <c r="BM68" s="177"/>
      <c r="BN68" s="177"/>
      <c r="BO68" s="177"/>
      <c r="BP68" s="177"/>
      <c r="BQ68" s="177"/>
      <c r="BR68" s="179"/>
      <c r="BS68" s="177"/>
      <c r="BT68" s="177"/>
      <c r="BU68" s="177"/>
      <c r="BV68" s="177"/>
      <c r="BW68" s="177"/>
      <c r="BX68" s="177"/>
      <c r="BY68" s="177"/>
      <c r="BZ68" s="177"/>
      <c r="CA68" s="177"/>
      <c r="CB68" s="179"/>
      <c r="CC68" s="177"/>
      <c r="CD68" s="177"/>
      <c r="CE68" s="177"/>
      <c r="CF68" s="177"/>
      <c r="CG68" s="177"/>
      <c r="CH68" s="177"/>
      <c r="CI68" s="177"/>
      <c r="CJ68" s="177"/>
      <c r="CK68" s="178"/>
      <c r="CL68" s="180"/>
    </row>
    <row r="69" spans="1:90">
      <c r="A69" s="93">
        <f>ROWS($A$3:A67)</f>
        <v>65</v>
      </c>
      <c r="B69" s="106" t="s">
        <v>88</v>
      </c>
      <c r="C69" s="242">
        <v>2001</v>
      </c>
      <c r="D69" s="314" t="s">
        <v>14</v>
      </c>
      <c r="E69" s="333"/>
      <c r="F69" s="156">
        <f>822-42</f>
        <v>780</v>
      </c>
      <c r="G69" s="177">
        <v>221</v>
      </c>
      <c r="H69" s="177">
        <f>1202-59</f>
        <v>1143</v>
      </c>
      <c r="I69" s="178">
        <v>1118</v>
      </c>
      <c r="J69" s="181"/>
      <c r="K69" s="156">
        <f>BF69</f>
        <v>81</v>
      </c>
      <c r="L69" s="177">
        <f>AY69</f>
        <v>118</v>
      </c>
      <c r="M69" s="177">
        <f>BD69</f>
        <v>147</v>
      </c>
      <c r="N69" s="177">
        <f>AW69</f>
        <v>57</v>
      </c>
      <c r="O69" s="177">
        <f>BE69</f>
        <v>35</v>
      </c>
      <c r="P69" s="177">
        <f>'2001'!AZ69+'2001'!BA69</f>
        <v>49</v>
      </c>
      <c r="Q69" s="177">
        <f>'2001'!AU69</f>
        <v>25</v>
      </c>
      <c r="R69" s="177">
        <f>AT69+AX69</f>
        <v>40</v>
      </c>
      <c r="S69" s="177">
        <f>AV69</f>
        <v>30</v>
      </c>
      <c r="T69" s="177">
        <f t="shared" ref="T69:U71" si="146">BB69</f>
        <v>76</v>
      </c>
      <c r="U69" s="179">
        <f t="shared" si="146"/>
        <v>122</v>
      </c>
      <c r="V69" s="177">
        <f>BG69+BJ69</f>
        <v>19</v>
      </c>
      <c r="W69" s="177">
        <f>BR69</f>
        <v>27</v>
      </c>
      <c r="X69" s="177">
        <f>BH69+BI69</f>
        <v>30</v>
      </c>
      <c r="Y69" s="177">
        <f>BK69+BL69+BN69</f>
        <v>44</v>
      </c>
      <c r="Z69" s="177">
        <f>BM69</f>
        <v>32</v>
      </c>
      <c r="AA69" s="177">
        <f>BO69+BQ69</f>
        <v>37</v>
      </c>
      <c r="AB69" s="179">
        <f>BP69</f>
        <v>32</v>
      </c>
      <c r="AC69" s="177">
        <f>BX69</f>
        <v>120</v>
      </c>
      <c r="AD69" s="177">
        <f>BU69</f>
        <v>65</v>
      </c>
      <c r="AE69" s="177">
        <f>BS69+BT69</f>
        <v>231</v>
      </c>
      <c r="AF69" s="177">
        <f>CA69</f>
        <v>106</v>
      </c>
      <c r="AG69" s="177">
        <f>BV69</f>
        <v>106</v>
      </c>
      <c r="AH69" s="177">
        <f>BZ69</f>
        <v>167</v>
      </c>
      <c r="AI69" s="177">
        <f>BW69</f>
        <v>45</v>
      </c>
      <c r="AJ69" s="177">
        <f>BY69</f>
        <v>55</v>
      </c>
      <c r="AK69" s="179">
        <f>CB69</f>
        <v>248</v>
      </c>
      <c r="AL69" s="177">
        <f>CE69</f>
        <v>54</v>
      </c>
      <c r="AM69" s="177">
        <f>CH69</f>
        <v>60</v>
      </c>
      <c r="AN69" s="177">
        <f>CJ69</f>
        <v>426</v>
      </c>
      <c r="AO69" s="177">
        <f t="shared" ref="AO69:AP71" si="147">CC69</f>
        <v>40</v>
      </c>
      <c r="AP69" s="177">
        <f t="shared" si="147"/>
        <v>34</v>
      </c>
      <c r="AQ69" s="177">
        <f>CK69</f>
        <v>146</v>
      </c>
      <c r="AR69" s="177">
        <f>CI69</f>
        <v>303</v>
      </c>
      <c r="AS69" s="178">
        <f>CG69</f>
        <v>55</v>
      </c>
      <c r="AT69" s="177">
        <v>6</v>
      </c>
      <c r="AU69" s="177">
        <v>25</v>
      </c>
      <c r="AV69" s="177">
        <v>30</v>
      </c>
      <c r="AW69" s="181">
        <v>57</v>
      </c>
      <c r="AX69" s="177">
        <v>34</v>
      </c>
      <c r="AY69" s="177">
        <v>118</v>
      </c>
      <c r="AZ69" s="177">
        <v>6</v>
      </c>
      <c r="BA69" s="177">
        <v>43</v>
      </c>
      <c r="BB69" s="177">
        <v>76</v>
      </c>
      <c r="BC69" s="177">
        <v>122</v>
      </c>
      <c r="BD69" s="177">
        <v>147</v>
      </c>
      <c r="BE69" s="177">
        <v>35</v>
      </c>
      <c r="BF69" s="179">
        <v>81</v>
      </c>
      <c r="BG69" s="177">
        <v>4</v>
      </c>
      <c r="BH69" s="177">
        <v>6</v>
      </c>
      <c r="BI69" s="177">
        <v>24</v>
      </c>
      <c r="BJ69" s="177">
        <v>15</v>
      </c>
      <c r="BK69" s="177">
        <v>3</v>
      </c>
      <c r="BL69" s="177">
        <v>1</v>
      </c>
      <c r="BM69" s="177">
        <v>32</v>
      </c>
      <c r="BN69" s="177">
        <v>40</v>
      </c>
      <c r="BO69" s="177">
        <v>2</v>
      </c>
      <c r="BP69" s="177">
        <v>32</v>
      </c>
      <c r="BQ69" s="177">
        <v>35</v>
      </c>
      <c r="BR69" s="179">
        <v>27</v>
      </c>
      <c r="BS69" s="177">
        <v>10</v>
      </c>
      <c r="BT69" s="177">
        <v>221</v>
      </c>
      <c r="BU69" s="177">
        <v>65</v>
      </c>
      <c r="BV69" s="177">
        <v>106</v>
      </c>
      <c r="BW69" s="177">
        <v>45</v>
      </c>
      <c r="BX69" s="177">
        <v>120</v>
      </c>
      <c r="BY69" s="177">
        <v>55</v>
      </c>
      <c r="BZ69" s="177">
        <v>167</v>
      </c>
      <c r="CA69" s="177">
        <v>106</v>
      </c>
      <c r="CB69" s="179">
        <v>248</v>
      </c>
      <c r="CC69" s="177">
        <v>40</v>
      </c>
      <c r="CD69" s="177">
        <v>34</v>
      </c>
      <c r="CE69" s="177">
        <v>54</v>
      </c>
      <c r="CF69" s="177" t="s">
        <v>252</v>
      </c>
      <c r="CG69" s="177">
        <v>55</v>
      </c>
      <c r="CH69" s="177">
        <v>60</v>
      </c>
      <c r="CI69" s="177">
        <v>303</v>
      </c>
      <c r="CJ69" s="177">
        <v>426</v>
      </c>
      <c r="CK69" s="178">
        <v>146</v>
      </c>
      <c r="CL69" s="180">
        <f>3413-151</f>
        <v>3262</v>
      </c>
    </row>
    <row r="70" spans="1:90">
      <c r="A70" s="93">
        <f>ROWS($A$3:A68)</f>
        <v>66</v>
      </c>
      <c r="B70" s="106" t="s">
        <v>74</v>
      </c>
      <c r="C70" s="243"/>
      <c r="D70" s="314" t="s">
        <v>1</v>
      </c>
      <c r="E70" s="333"/>
      <c r="F70" s="156">
        <f>24448-52</f>
        <v>24396</v>
      </c>
      <c r="G70" s="177">
        <v>8701</v>
      </c>
      <c r="H70" s="177">
        <f>31538-58</f>
        <v>31480</v>
      </c>
      <c r="I70" s="178">
        <f>33215-42</f>
        <v>33173</v>
      </c>
      <c r="J70" s="181"/>
      <c r="K70" s="156">
        <f>BF70</f>
        <v>2376</v>
      </c>
      <c r="L70" s="177">
        <f>AY70</f>
        <v>3316</v>
      </c>
      <c r="M70" s="177">
        <f>BD70</f>
        <v>4988</v>
      </c>
      <c r="N70" s="177">
        <f>AW70</f>
        <v>2013</v>
      </c>
      <c r="O70" s="177">
        <f>BE70</f>
        <v>1652</v>
      </c>
      <c r="P70" s="177">
        <f>'2001'!AZ70+'2001'!BA70</f>
        <v>1086</v>
      </c>
      <c r="Q70" s="177">
        <f>'2001'!AU70</f>
        <v>763</v>
      </c>
      <c r="R70" s="177">
        <f>AT70+AX70</f>
        <v>1068</v>
      </c>
      <c r="S70" s="177">
        <f>AV70</f>
        <v>1102</v>
      </c>
      <c r="T70" s="177">
        <f t="shared" si="146"/>
        <v>2367</v>
      </c>
      <c r="U70" s="179">
        <f t="shared" si="146"/>
        <v>3678</v>
      </c>
      <c r="V70" s="177">
        <f>BG70+BJ70</f>
        <v>537</v>
      </c>
      <c r="W70" s="177">
        <f>BR70</f>
        <v>1069</v>
      </c>
      <c r="X70" s="177">
        <f>BH70+BI70</f>
        <v>1122</v>
      </c>
      <c r="Y70" s="177">
        <f>BN70</f>
        <v>1486</v>
      </c>
      <c r="Z70" s="177">
        <f>BM70</f>
        <v>1618</v>
      </c>
      <c r="AA70" s="177">
        <f>BQ70</f>
        <v>1720</v>
      </c>
      <c r="AB70" s="179">
        <f>BP70</f>
        <v>836</v>
      </c>
      <c r="AC70" s="177">
        <f>BX70</f>
        <v>3339</v>
      </c>
      <c r="AD70" s="177">
        <f>BU70</f>
        <v>1039</v>
      </c>
      <c r="AE70" s="177">
        <f>BS70+BT70</f>
        <v>5078</v>
      </c>
      <c r="AF70" s="177">
        <f>CA70</f>
        <v>2290</v>
      </c>
      <c r="AG70" s="177">
        <f>BV70</f>
        <v>1966</v>
      </c>
      <c r="AH70" s="177">
        <f>BZ70</f>
        <v>6367</v>
      </c>
      <c r="AI70" s="177">
        <f>BW70</f>
        <v>1593</v>
      </c>
      <c r="AJ70" s="177">
        <f>BY70</f>
        <v>3229</v>
      </c>
      <c r="AK70" s="179">
        <f>CB70</f>
        <v>6582</v>
      </c>
      <c r="AL70" s="177">
        <f>CE70</f>
        <v>2622</v>
      </c>
      <c r="AM70" s="177">
        <f>CH70</f>
        <v>1896</v>
      </c>
      <c r="AN70" s="177">
        <f>CJ70</f>
        <v>12098</v>
      </c>
      <c r="AO70" s="177">
        <f t="shared" si="147"/>
        <v>1310</v>
      </c>
      <c r="AP70" s="177">
        <f t="shared" si="147"/>
        <v>2356</v>
      </c>
      <c r="AQ70" s="177">
        <f>CK70</f>
        <v>4787</v>
      </c>
      <c r="AR70" s="177">
        <f>CI70</f>
        <v>6302</v>
      </c>
      <c r="AS70" s="178">
        <f>CG70</f>
        <v>1804</v>
      </c>
      <c r="AT70" s="177">
        <v>242</v>
      </c>
      <c r="AU70" s="181">
        <v>763</v>
      </c>
      <c r="AV70" s="181">
        <v>1102</v>
      </c>
      <c r="AW70" s="181">
        <v>2013</v>
      </c>
      <c r="AX70" s="181">
        <v>826</v>
      </c>
      <c r="AY70" s="177">
        <v>3316</v>
      </c>
      <c r="AZ70" s="177">
        <v>72</v>
      </c>
      <c r="BA70" s="177">
        <v>1014</v>
      </c>
      <c r="BB70" s="177">
        <v>2367</v>
      </c>
      <c r="BC70" s="177">
        <v>3678</v>
      </c>
      <c r="BD70" s="177">
        <v>4988</v>
      </c>
      <c r="BE70" s="177">
        <v>1652</v>
      </c>
      <c r="BF70" s="179">
        <v>2376</v>
      </c>
      <c r="BG70" s="177">
        <v>114</v>
      </c>
      <c r="BH70" s="177">
        <v>292</v>
      </c>
      <c r="BI70" s="177">
        <v>830</v>
      </c>
      <c r="BJ70" s="177">
        <v>423</v>
      </c>
      <c r="BK70" s="177">
        <v>33</v>
      </c>
      <c r="BL70" s="177" t="s">
        <v>252</v>
      </c>
      <c r="BM70" s="177">
        <v>1618</v>
      </c>
      <c r="BN70" s="177">
        <v>1486</v>
      </c>
      <c r="BO70" s="177" t="s">
        <v>252</v>
      </c>
      <c r="BP70" s="177">
        <v>836</v>
      </c>
      <c r="BQ70" s="177">
        <v>1720</v>
      </c>
      <c r="BR70" s="179">
        <v>1069</v>
      </c>
      <c r="BS70" s="177">
        <v>175</v>
      </c>
      <c r="BT70" s="177">
        <v>4903</v>
      </c>
      <c r="BU70" s="177">
        <v>1039</v>
      </c>
      <c r="BV70" s="177">
        <v>1966</v>
      </c>
      <c r="BW70" s="177">
        <v>1593</v>
      </c>
      <c r="BX70" s="177">
        <v>3339</v>
      </c>
      <c r="BY70" s="177">
        <v>3229</v>
      </c>
      <c r="BZ70" s="177">
        <v>6367</v>
      </c>
      <c r="CA70" s="177">
        <v>2290</v>
      </c>
      <c r="CB70" s="179">
        <v>6582</v>
      </c>
      <c r="CC70" s="177">
        <v>1310</v>
      </c>
      <c r="CD70" s="177">
        <v>2356</v>
      </c>
      <c r="CE70" s="177">
        <v>2622</v>
      </c>
      <c r="CF70" s="177" t="s">
        <v>252</v>
      </c>
      <c r="CG70" s="177">
        <v>1804</v>
      </c>
      <c r="CH70" s="177">
        <v>1896</v>
      </c>
      <c r="CI70" s="177">
        <v>6302</v>
      </c>
      <c r="CJ70" s="177">
        <v>12098</v>
      </c>
      <c r="CK70" s="178">
        <v>4787</v>
      </c>
      <c r="CL70" s="180">
        <f>97907-157</f>
        <v>97750</v>
      </c>
    </row>
    <row r="71" spans="1:90">
      <c r="A71" s="93">
        <f>ROWS($A$3:A69)</f>
        <v>67</v>
      </c>
      <c r="B71" s="62" t="s">
        <v>71</v>
      </c>
      <c r="C71" s="312"/>
      <c r="D71" s="314" t="s">
        <v>1</v>
      </c>
      <c r="E71" s="333"/>
      <c r="F71" s="207">
        <f>IF(OR(F69&lt;0.1,F70&lt;0.1),0,F70/F69)</f>
        <v>31.276923076923076</v>
      </c>
      <c r="G71" s="208">
        <f>IF(OR(G69&lt;0.1,G70&lt;0.1),0,G70/G69)</f>
        <v>39.371040723981899</v>
      </c>
      <c r="H71" s="208">
        <f>IF(OR(H69&lt;0.1,H70&lt;0.1),0,H70/H69)</f>
        <v>27.541557305336834</v>
      </c>
      <c r="I71" s="209">
        <f>IF(OR(I69&lt;0.1,I70&lt;0.1),0,I70/I69)</f>
        <v>29.671735241502684</v>
      </c>
      <c r="J71" s="213"/>
      <c r="K71" s="218">
        <f>BF71</f>
        <v>29.333333333333332</v>
      </c>
      <c r="L71" s="219">
        <f>AY71</f>
        <v>28.101694915254239</v>
      </c>
      <c r="M71" s="219">
        <f>BD71</f>
        <v>33.931972789115648</v>
      </c>
      <c r="N71" s="219">
        <f>AW71</f>
        <v>35.315789473684212</v>
      </c>
      <c r="O71" s="219">
        <f>BE71</f>
        <v>47.2</v>
      </c>
      <c r="P71" s="208">
        <f>IF(OR(P69&lt;0.1,P70&lt;0.1),0,P70/P69)</f>
        <v>22.163265306122447</v>
      </c>
      <c r="Q71" s="219">
        <f>'2001'!AU71</f>
        <v>30.52</v>
      </c>
      <c r="R71" s="208">
        <f>IF(OR(R69&lt;0.1,R70&lt;0.1),0,R70/R69)</f>
        <v>26.7</v>
      </c>
      <c r="S71" s="219">
        <f>AV71</f>
        <v>36.733333333333334</v>
      </c>
      <c r="T71" s="219">
        <f t="shared" si="146"/>
        <v>31.144736842105264</v>
      </c>
      <c r="U71" s="220">
        <f t="shared" si="146"/>
        <v>30.147540983606557</v>
      </c>
      <c r="V71" s="208">
        <f>IF(OR(V69&lt;0.1,V70&lt;0.1),0,V70/V69)</f>
        <v>28.263157894736842</v>
      </c>
      <c r="W71" s="219">
        <f>BR71</f>
        <v>39.592592592592595</v>
      </c>
      <c r="X71" s="208">
        <f>IF(OR(X69&lt;0.1,X70&lt;0.1),0,X70/X69)</f>
        <v>37.4</v>
      </c>
      <c r="Y71" s="208">
        <f>IF(OR(Y69&lt;0.1,Y70&lt;0.1),0,Y70/Y69)</f>
        <v>33.772727272727273</v>
      </c>
      <c r="Z71" s="219">
        <f>BM71</f>
        <v>50.5625</v>
      </c>
      <c r="AA71" s="208">
        <f>IF(OR(AA69&lt;0.1,AA70&lt;0.1),0,AA70/AA69)</f>
        <v>46.486486486486484</v>
      </c>
      <c r="AB71" s="220">
        <f>BP71</f>
        <v>26.125</v>
      </c>
      <c r="AC71" s="219">
        <f>BX71</f>
        <v>27.824999999999999</v>
      </c>
      <c r="AD71" s="219">
        <f>BU71</f>
        <v>15.984615384615385</v>
      </c>
      <c r="AE71" s="208">
        <f>IF(OR(AE69&lt;0.1,AE70&lt;0.1),0,AE70/AE69)</f>
        <v>21.982683982683984</v>
      </c>
      <c r="AF71" s="219">
        <f>CA71</f>
        <v>21.60377358490566</v>
      </c>
      <c r="AG71" s="219">
        <f>BV71</f>
        <v>18.547169811320753</v>
      </c>
      <c r="AH71" s="219">
        <f>BZ71</f>
        <v>38.125748502994014</v>
      </c>
      <c r="AI71" s="219">
        <f>BW71</f>
        <v>35.4</v>
      </c>
      <c r="AJ71" s="219">
        <f>BY71</f>
        <v>58.709090909090911</v>
      </c>
      <c r="AK71" s="220">
        <f>CB71</f>
        <v>26.54032258064516</v>
      </c>
      <c r="AL71" s="219">
        <f>CE71</f>
        <v>48.555555555555557</v>
      </c>
      <c r="AM71" s="219">
        <f>CH71</f>
        <v>31.6</v>
      </c>
      <c r="AN71" s="219">
        <f>CJ71</f>
        <v>28.399061032863848</v>
      </c>
      <c r="AO71" s="219">
        <f t="shared" si="147"/>
        <v>32.75</v>
      </c>
      <c r="AP71" s="219">
        <f t="shared" si="147"/>
        <v>69.294117647058826</v>
      </c>
      <c r="AQ71" s="219">
        <f>CK71</f>
        <v>32.787671232876711</v>
      </c>
      <c r="AR71" s="219">
        <f>CI71</f>
        <v>20.798679867986799</v>
      </c>
      <c r="AS71" s="209">
        <f t="shared" ref="AS71:BJ71" si="148">IF(OR(AS69&lt;0.1,AS70&lt;0.1),0,AS70/AS69)</f>
        <v>32.799999999999997</v>
      </c>
      <c r="AT71" s="208">
        <f t="shared" si="148"/>
        <v>40.333333333333336</v>
      </c>
      <c r="AU71" s="208">
        <f t="shared" si="148"/>
        <v>30.52</v>
      </c>
      <c r="AV71" s="208">
        <f t="shared" si="148"/>
        <v>36.733333333333334</v>
      </c>
      <c r="AW71" s="208">
        <f t="shared" si="148"/>
        <v>35.315789473684212</v>
      </c>
      <c r="AX71" s="208">
        <f t="shared" si="148"/>
        <v>24.294117647058822</v>
      </c>
      <c r="AY71" s="208">
        <f t="shared" si="148"/>
        <v>28.101694915254239</v>
      </c>
      <c r="AZ71" s="208">
        <f t="shared" si="148"/>
        <v>12</v>
      </c>
      <c r="BA71" s="208">
        <f t="shared" si="148"/>
        <v>23.581395348837209</v>
      </c>
      <c r="BB71" s="208">
        <f t="shared" si="148"/>
        <v>31.144736842105264</v>
      </c>
      <c r="BC71" s="208">
        <f t="shared" si="148"/>
        <v>30.147540983606557</v>
      </c>
      <c r="BD71" s="208">
        <f t="shared" si="148"/>
        <v>33.931972789115648</v>
      </c>
      <c r="BE71" s="208">
        <f t="shared" si="148"/>
        <v>47.2</v>
      </c>
      <c r="BF71" s="216">
        <f t="shared" si="148"/>
        <v>29.333333333333332</v>
      </c>
      <c r="BG71" s="208">
        <f t="shared" si="148"/>
        <v>28.5</v>
      </c>
      <c r="BH71" s="208">
        <f t="shared" si="148"/>
        <v>48.666666666666664</v>
      </c>
      <c r="BI71" s="208">
        <f t="shared" si="148"/>
        <v>34.583333333333336</v>
      </c>
      <c r="BJ71" s="208">
        <f t="shared" si="148"/>
        <v>28.2</v>
      </c>
      <c r="BK71" s="208">
        <v>0</v>
      </c>
      <c r="BL71" s="208" t="s">
        <v>252</v>
      </c>
      <c r="BM71" s="208">
        <f>IF(OR(BM69&lt;0.1,BM70&lt;0.1),0,BM70/BM69)</f>
        <v>50.5625</v>
      </c>
      <c r="BN71" s="208">
        <f>IF(OR(BN69&lt;0.1,BN70&lt;0.1),0,BN70/BN69)</f>
        <v>37.15</v>
      </c>
      <c r="BO71" s="208" t="s">
        <v>252</v>
      </c>
      <c r="BP71" s="208">
        <f t="shared" ref="BP71:CE71" si="149">IF(OR(BP69&lt;0.1,BP70&lt;0.1),0,BP70/BP69)</f>
        <v>26.125</v>
      </c>
      <c r="BQ71" s="208">
        <f t="shared" si="149"/>
        <v>49.142857142857146</v>
      </c>
      <c r="BR71" s="216">
        <f t="shared" si="149"/>
        <v>39.592592592592595</v>
      </c>
      <c r="BS71" s="208">
        <f t="shared" si="149"/>
        <v>17.5</v>
      </c>
      <c r="BT71" s="208">
        <f t="shared" si="149"/>
        <v>22.18552036199095</v>
      </c>
      <c r="BU71" s="208">
        <f t="shared" si="149"/>
        <v>15.984615384615385</v>
      </c>
      <c r="BV71" s="208">
        <f t="shared" si="149"/>
        <v>18.547169811320753</v>
      </c>
      <c r="BW71" s="208">
        <f t="shared" si="149"/>
        <v>35.4</v>
      </c>
      <c r="BX71" s="208">
        <f t="shared" si="149"/>
        <v>27.824999999999999</v>
      </c>
      <c r="BY71" s="208">
        <f t="shared" si="149"/>
        <v>58.709090909090911</v>
      </c>
      <c r="BZ71" s="208">
        <f t="shared" si="149"/>
        <v>38.125748502994014</v>
      </c>
      <c r="CA71" s="208">
        <f t="shared" si="149"/>
        <v>21.60377358490566</v>
      </c>
      <c r="CB71" s="216">
        <f t="shared" si="149"/>
        <v>26.54032258064516</v>
      </c>
      <c r="CC71" s="208">
        <f t="shared" si="149"/>
        <v>32.75</v>
      </c>
      <c r="CD71" s="208">
        <f t="shared" si="149"/>
        <v>69.294117647058826</v>
      </c>
      <c r="CE71" s="208">
        <f t="shared" si="149"/>
        <v>48.555555555555557</v>
      </c>
      <c r="CF71" s="208" t="s">
        <v>252</v>
      </c>
      <c r="CG71" s="208">
        <f t="shared" ref="CG71:CL71" si="150">IF(OR(CG69&lt;0.1,CG70&lt;0.1),0,CG70/CG69)</f>
        <v>32.799999999999997</v>
      </c>
      <c r="CH71" s="208">
        <f t="shared" si="150"/>
        <v>31.6</v>
      </c>
      <c r="CI71" s="208">
        <f t="shared" si="150"/>
        <v>20.798679867986799</v>
      </c>
      <c r="CJ71" s="208">
        <f t="shared" si="150"/>
        <v>28.399061032863848</v>
      </c>
      <c r="CK71" s="209">
        <f t="shared" si="150"/>
        <v>32.787671232876711</v>
      </c>
      <c r="CL71" s="217">
        <f t="shared" si="150"/>
        <v>29.966278356836298</v>
      </c>
    </row>
    <row r="72" spans="1:90">
      <c r="A72" s="93">
        <f>ROWS($A$3:A70)</f>
        <v>68</v>
      </c>
      <c r="B72" s="67" t="s">
        <v>89</v>
      </c>
      <c r="C72" s="243"/>
      <c r="D72" s="314"/>
      <c r="E72" s="333"/>
      <c r="F72" s="156"/>
      <c r="G72" s="177"/>
      <c r="H72" s="177"/>
      <c r="I72" s="178"/>
      <c r="J72" s="181"/>
      <c r="K72" s="156"/>
      <c r="L72" s="177"/>
      <c r="M72" s="177"/>
      <c r="N72" s="177"/>
      <c r="O72" s="177"/>
      <c r="P72" s="177"/>
      <c r="Q72" s="177"/>
      <c r="R72" s="177"/>
      <c r="S72" s="177"/>
      <c r="T72" s="177"/>
      <c r="U72" s="179"/>
      <c r="V72" s="177"/>
      <c r="W72" s="177"/>
      <c r="X72" s="177"/>
      <c r="Y72" s="177"/>
      <c r="Z72" s="177"/>
      <c r="AA72" s="177"/>
      <c r="AB72" s="179"/>
      <c r="AC72" s="177"/>
      <c r="AD72" s="177"/>
      <c r="AE72" s="177"/>
      <c r="AF72" s="177"/>
      <c r="AG72" s="177"/>
      <c r="AH72" s="177"/>
      <c r="AI72" s="177"/>
      <c r="AJ72" s="177"/>
      <c r="AK72" s="179"/>
      <c r="AL72" s="177"/>
      <c r="AM72" s="177"/>
      <c r="AN72" s="177"/>
      <c r="AO72" s="177"/>
      <c r="AP72" s="177"/>
      <c r="AQ72" s="177"/>
      <c r="AR72" s="177"/>
      <c r="AS72" s="178"/>
      <c r="AT72" s="177"/>
      <c r="AU72" s="177"/>
      <c r="AV72" s="177"/>
      <c r="AW72" s="177"/>
      <c r="AX72" s="177"/>
      <c r="AY72" s="177"/>
      <c r="AZ72" s="177"/>
      <c r="BA72" s="177"/>
      <c r="BB72" s="177"/>
      <c r="BC72" s="177"/>
      <c r="BD72" s="177"/>
      <c r="BE72" s="177"/>
      <c r="BF72" s="179"/>
      <c r="BG72" s="177"/>
      <c r="BH72" s="177"/>
      <c r="BI72" s="177"/>
      <c r="BJ72" s="177"/>
      <c r="BK72" s="177"/>
      <c r="BL72" s="177"/>
      <c r="BM72" s="177"/>
      <c r="BN72" s="177"/>
      <c r="BO72" s="177"/>
      <c r="BP72" s="177"/>
      <c r="BQ72" s="177"/>
      <c r="BR72" s="179"/>
      <c r="BS72" s="177"/>
      <c r="BT72" s="177"/>
      <c r="BU72" s="177"/>
      <c r="BV72" s="177"/>
      <c r="BW72" s="177"/>
      <c r="BX72" s="177"/>
      <c r="BY72" s="177"/>
      <c r="BZ72" s="177"/>
      <c r="CA72" s="177"/>
      <c r="CB72" s="179"/>
      <c r="CC72" s="177"/>
      <c r="CD72" s="177"/>
      <c r="CE72" s="177"/>
      <c r="CF72" s="177"/>
      <c r="CG72" s="177"/>
      <c r="CH72" s="177"/>
      <c r="CI72" s="177"/>
      <c r="CJ72" s="177"/>
      <c r="CK72" s="178"/>
      <c r="CL72" s="180"/>
    </row>
    <row r="73" spans="1:90">
      <c r="A73" s="93">
        <f>ROWS($A$3:A71)</f>
        <v>69</v>
      </c>
      <c r="B73" s="106" t="s">
        <v>90</v>
      </c>
      <c r="C73" s="242">
        <v>1999</v>
      </c>
      <c r="D73" s="314" t="s">
        <v>14</v>
      </c>
      <c r="E73" s="333"/>
      <c r="F73" s="156">
        <v>5591</v>
      </c>
      <c r="G73" s="177">
        <v>3317</v>
      </c>
      <c r="H73" s="177">
        <v>3125</v>
      </c>
      <c r="I73" s="178">
        <v>4307</v>
      </c>
      <c r="J73" s="181"/>
      <c r="K73" s="156">
        <f t="shared" ref="K73:K78" si="151">BF73</f>
        <v>431</v>
      </c>
      <c r="L73" s="177">
        <f t="shared" ref="L73:L78" si="152">AY73</f>
        <v>228</v>
      </c>
      <c r="M73" s="177">
        <f t="shared" ref="M73:M78" si="153">BD73</f>
        <v>1289</v>
      </c>
      <c r="N73" s="177">
        <f t="shared" ref="N73:N78" si="154">AW73</f>
        <v>150</v>
      </c>
      <c r="O73" s="177">
        <f t="shared" ref="O73:O78" si="155">BE73</f>
        <v>226</v>
      </c>
      <c r="P73" s="177">
        <f>'2001'!AZ73+'2001'!BA73</f>
        <v>956</v>
      </c>
      <c r="Q73" s="177">
        <f>'2001'!AU73</f>
        <v>640</v>
      </c>
      <c r="R73" s="177">
        <f t="shared" ref="R73:R78" si="156">AT73+AX73</f>
        <v>658</v>
      </c>
      <c r="S73" s="177">
        <f t="shared" ref="S73:S78" si="157">AV73</f>
        <v>348</v>
      </c>
      <c r="T73" s="177">
        <f t="shared" ref="T73:U78" si="158">BB73</f>
        <v>414</v>
      </c>
      <c r="U73" s="179">
        <f t="shared" si="158"/>
        <v>251</v>
      </c>
      <c r="V73" s="177">
        <f t="shared" ref="V73:V78" si="159">BG73+BJ73</f>
        <v>261</v>
      </c>
      <c r="W73" s="177">
        <f t="shared" ref="W73:W78" si="160">BR73</f>
        <v>294</v>
      </c>
      <c r="X73" s="177">
        <f t="shared" ref="X73:X78" si="161">BH73+BI73</f>
        <v>723</v>
      </c>
      <c r="Y73" s="177">
        <f t="shared" ref="Y73:Y78" si="162">BK73+BL73+BN73</f>
        <v>781</v>
      </c>
      <c r="Z73" s="177">
        <f t="shared" ref="Z73:Z78" si="163">BM73</f>
        <v>681</v>
      </c>
      <c r="AA73" s="177">
        <f t="shared" ref="AA73:AA78" si="164">BO73+BQ73</f>
        <v>308</v>
      </c>
      <c r="AB73" s="179">
        <f t="shared" ref="AB73:AB78" si="165">BP73</f>
        <v>269</v>
      </c>
      <c r="AC73" s="177">
        <f t="shared" ref="AC73:AC78" si="166">BX73</f>
        <v>270</v>
      </c>
      <c r="AD73" s="177">
        <f t="shared" ref="AD73:AD78" si="167">BU73</f>
        <v>249</v>
      </c>
      <c r="AE73" s="177">
        <f t="shared" ref="AE73:AE78" si="168">BS73+BT73</f>
        <v>452</v>
      </c>
      <c r="AF73" s="177">
        <f t="shared" ref="AF73:AF78" si="169">CA73</f>
        <v>133</v>
      </c>
      <c r="AG73" s="177">
        <f t="shared" ref="AG73:AG78" si="170">BV73</f>
        <v>824</v>
      </c>
      <c r="AH73" s="177">
        <f t="shared" ref="AH73:AH78" si="171">BZ73</f>
        <v>385</v>
      </c>
      <c r="AI73" s="177">
        <f t="shared" ref="AI73:AI78" si="172">BW73</f>
        <v>413</v>
      </c>
      <c r="AJ73" s="177">
        <f t="shared" ref="AJ73:AJ78" si="173">BY73</f>
        <v>181</v>
      </c>
      <c r="AK73" s="179">
        <f t="shared" ref="AK73:AK78" si="174">CB73</f>
        <v>218</v>
      </c>
      <c r="AL73" s="177">
        <f t="shared" ref="AL73:AL78" si="175">CE73</f>
        <v>447</v>
      </c>
      <c r="AM73" s="177">
        <f t="shared" ref="AM73:AM78" si="176">CH73</f>
        <v>675</v>
      </c>
      <c r="AN73" s="177">
        <f t="shared" ref="AN73:AN78" si="177">CJ73</f>
        <v>162</v>
      </c>
      <c r="AO73" s="177">
        <f t="shared" ref="AO73:AP78" si="178">CC73</f>
        <v>583</v>
      </c>
      <c r="AP73" s="177">
        <f t="shared" si="178"/>
        <v>465</v>
      </c>
      <c r="AQ73" s="177">
        <f t="shared" ref="AQ73:AQ78" si="179">CK73</f>
        <v>706</v>
      </c>
      <c r="AR73" s="177">
        <f t="shared" ref="AR73:AR78" si="180">CI73</f>
        <v>203</v>
      </c>
      <c r="AS73" s="178">
        <f t="shared" ref="AS73:AS78" si="181">CF73+CG73</f>
        <v>1066</v>
      </c>
      <c r="AT73" s="177">
        <v>52</v>
      </c>
      <c r="AU73" s="177">
        <v>640</v>
      </c>
      <c r="AV73" s="177">
        <v>348</v>
      </c>
      <c r="AW73" s="181">
        <v>150</v>
      </c>
      <c r="AX73" s="177">
        <v>606</v>
      </c>
      <c r="AY73" s="177">
        <v>228</v>
      </c>
      <c r="AZ73" s="177">
        <v>93</v>
      </c>
      <c r="BA73" s="177">
        <v>863</v>
      </c>
      <c r="BB73" s="177">
        <v>414</v>
      </c>
      <c r="BC73" s="177">
        <v>251</v>
      </c>
      <c r="BD73" s="177">
        <v>1289</v>
      </c>
      <c r="BE73" s="177">
        <v>226</v>
      </c>
      <c r="BF73" s="179">
        <v>431</v>
      </c>
      <c r="BG73" s="177">
        <v>7</v>
      </c>
      <c r="BH73" s="177">
        <v>43</v>
      </c>
      <c r="BI73" s="177">
        <v>680</v>
      </c>
      <c r="BJ73" s="177">
        <v>254</v>
      </c>
      <c r="BK73" s="177">
        <v>36</v>
      </c>
      <c r="BL73" s="177">
        <v>78</v>
      </c>
      <c r="BM73" s="177">
        <v>681</v>
      </c>
      <c r="BN73" s="177">
        <v>667</v>
      </c>
      <c r="BO73" s="177">
        <v>10</v>
      </c>
      <c r="BP73" s="177">
        <v>269</v>
      </c>
      <c r="BQ73" s="177">
        <v>298</v>
      </c>
      <c r="BR73" s="179">
        <v>294</v>
      </c>
      <c r="BS73" s="177">
        <v>27</v>
      </c>
      <c r="BT73" s="177">
        <v>425</v>
      </c>
      <c r="BU73" s="177">
        <v>249</v>
      </c>
      <c r="BV73" s="177">
        <v>824</v>
      </c>
      <c r="BW73" s="177">
        <v>413</v>
      </c>
      <c r="BX73" s="177">
        <v>270</v>
      </c>
      <c r="BY73" s="177">
        <v>181</v>
      </c>
      <c r="BZ73" s="177">
        <v>385</v>
      </c>
      <c r="CA73" s="177">
        <v>133</v>
      </c>
      <c r="CB73" s="179">
        <v>218</v>
      </c>
      <c r="CC73" s="177">
        <v>583</v>
      </c>
      <c r="CD73" s="177">
        <v>465</v>
      </c>
      <c r="CE73" s="177">
        <v>447</v>
      </c>
      <c r="CF73" s="177">
        <v>76</v>
      </c>
      <c r="CG73" s="177">
        <v>990</v>
      </c>
      <c r="CH73" s="177">
        <v>675</v>
      </c>
      <c r="CI73" s="177">
        <v>203</v>
      </c>
      <c r="CJ73" s="177">
        <v>162</v>
      </c>
      <c r="CK73" s="178">
        <v>706</v>
      </c>
      <c r="CL73" s="180">
        <v>16340</v>
      </c>
    </row>
    <row r="74" spans="1:90">
      <c r="A74" s="93">
        <f>ROWS($A$3:A72)</f>
        <v>70</v>
      </c>
      <c r="B74" s="106" t="s">
        <v>91</v>
      </c>
      <c r="C74" s="243"/>
      <c r="D74" s="314" t="s">
        <v>14</v>
      </c>
      <c r="E74" s="333"/>
      <c r="F74" s="156">
        <v>813</v>
      </c>
      <c r="G74" s="177">
        <v>427</v>
      </c>
      <c r="H74" s="177">
        <v>557</v>
      </c>
      <c r="I74" s="178">
        <v>327</v>
      </c>
      <c r="J74" s="181"/>
      <c r="K74" s="156">
        <f t="shared" si="151"/>
        <v>77</v>
      </c>
      <c r="L74" s="177">
        <f t="shared" si="152"/>
        <v>137</v>
      </c>
      <c r="M74" s="177">
        <f t="shared" si="153"/>
        <v>27</v>
      </c>
      <c r="N74" s="177">
        <f t="shared" si="154"/>
        <v>55</v>
      </c>
      <c r="O74" s="177">
        <f t="shared" si="155"/>
        <v>24</v>
      </c>
      <c r="P74" s="177">
        <f>'2001'!AZ74+'2001'!BA74</f>
        <v>94</v>
      </c>
      <c r="Q74" s="177">
        <f>'2001'!AU74</f>
        <v>42</v>
      </c>
      <c r="R74" s="177">
        <f t="shared" si="156"/>
        <v>217</v>
      </c>
      <c r="S74" s="177">
        <f t="shared" si="157"/>
        <v>88</v>
      </c>
      <c r="T74" s="177">
        <f t="shared" si="158"/>
        <v>24</v>
      </c>
      <c r="U74" s="179">
        <f t="shared" si="158"/>
        <v>28</v>
      </c>
      <c r="V74" s="177">
        <f t="shared" si="159"/>
        <v>61</v>
      </c>
      <c r="W74" s="177">
        <f t="shared" si="160"/>
        <v>16</v>
      </c>
      <c r="X74" s="177">
        <f t="shared" si="161"/>
        <v>95</v>
      </c>
      <c r="Y74" s="177">
        <f t="shared" si="162"/>
        <v>146</v>
      </c>
      <c r="Z74" s="177">
        <f t="shared" si="163"/>
        <v>25</v>
      </c>
      <c r="AA74" s="177">
        <f t="shared" si="164"/>
        <v>45</v>
      </c>
      <c r="AB74" s="179">
        <f t="shared" si="165"/>
        <v>39</v>
      </c>
      <c r="AC74" s="177">
        <f t="shared" si="166"/>
        <v>19</v>
      </c>
      <c r="AD74" s="177">
        <f t="shared" si="167"/>
        <v>51</v>
      </c>
      <c r="AE74" s="177">
        <f t="shared" si="168"/>
        <v>85</v>
      </c>
      <c r="AF74" s="177">
        <f t="shared" si="169"/>
        <v>50</v>
      </c>
      <c r="AG74" s="177">
        <f t="shared" si="170"/>
        <v>94</v>
      </c>
      <c r="AH74" s="177">
        <f t="shared" si="171"/>
        <v>194</v>
      </c>
      <c r="AI74" s="177">
        <f t="shared" si="172"/>
        <v>22</v>
      </c>
      <c r="AJ74" s="177">
        <f t="shared" si="173"/>
        <v>12</v>
      </c>
      <c r="AK74" s="179">
        <f t="shared" si="174"/>
        <v>30</v>
      </c>
      <c r="AL74" s="177">
        <f t="shared" si="175"/>
        <v>37</v>
      </c>
      <c r="AM74" s="177">
        <f t="shared" si="176"/>
        <v>34</v>
      </c>
      <c r="AN74" s="177">
        <f t="shared" si="177"/>
        <v>53</v>
      </c>
      <c r="AO74" s="177">
        <f t="shared" si="178"/>
        <v>55</v>
      </c>
      <c r="AP74" s="177">
        <f t="shared" si="178"/>
        <v>35</v>
      </c>
      <c r="AQ74" s="177">
        <f t="shared" si="179"/>
        <v>26</v>
      </c>
      <c r="AR74" s="177">
        <f t="shared" si="180"/>
        <v>42</v>
      </c>
      <c r="AS74" s="178">
        <f t="shared" si="181"/>
        <v>45</v>
      </c>
      <c r="AT74" s="181">
        <v>74</v>
      </c>
      <c r="AU74" s="181">
        <v>42</v>
      </c>
      <c r="AV74" s="181">
        <v>88</v>
      </c>
      <c r="AW74" s="181">
        <v>55</v>
      </c>
      <c r="AX74" s="181">
        <v>143</v>
      </c>
      <c r="AY74" s="177">
        <v>137</v>
      </c>
      <c r="AZ74" s="177">
        <v>22</v>
      </c>
      <c r="BA74" s="177">
        <v>72</v>
      </c>
      <c r="BB74" s="177">
        <v>24</v>
      </c>
      <c r="BC74" s="177">
        <v>28</v>
      </c>
      <c r="BD74" s="177">
        <v>27</v>
      </c>
      <c r="BE74" s="177">
        <v>24</v>
      </c>
      <c r="BF74" s="179">
        <v>77</v>
      </c>
      <c r="BG74" s="177">
        <v>13</v>
      </c>
      <c r="BH74" s="177">
        <v>35</v>
      </c>
      <c r="BI74" s="177">
        <v>60</v>
      </c>
      <c r="BJ74" s="177">
        <v>48</v>
      </c>
      <c r="BK74" s="177">
        <v>41</v>
      </c>
      <c r="BL74" s="177">
        <v>27</v>
      </c>
      <c r="BM74" s="177">
        <v>25</v>
      </c>
      <c r="BN74" s="177">
        <v>78</v>
      </c>
      <c r="BO74" s="177">
        <v>14</v>
      </c>
      <c r="BP74" s="177">
        <v>39</v>
      </c>
      <c r="BQ74" s="177">
        <v>31</v>
      </c>
      <c r="BR74" s="179">
        <v>16</v>
      </c>
      <c r="BS74" s="177">
        <v>23</v>
      </c>
      <c r="BT74" s="177">
        <v>62</v>
      </c>
      <c r="BU74" s="177">
        <v>51</v>
      </c>
      <c r="BV74" s="177">
        <v>94</v>
      </c>
      <c r="BW74" s="177">
        <v>22</v>
      </c>
      <c r="BX74" s="177">
        <v>19</v>
      </c>
      <c r="BY74" s="177">
        <v>12</v>
      </c>
      <c r="BZ74" s="177">
        <v>194</v>
      </c>
      <c r="CA74" s="177">
        <v>50</v>
      </c>
      <c r="CB74" s="179">
        <v>30</v>
      </c>
      <c r="CC74" s="177">
        <v>55</v>
      </c>
      <c r="CD74" s="177">
        <v>35</v>
      </c>
      <c r="CE74" s="177">
        <v>37</v>
      </c>
      <c r="CF74" s="177">
        <v>20</v>
      </c>
      <c r="CG74" s="177">
        <v>25</v>
      </c>
      <c r="CH74" s="177">
        <v>34</v>
      </c>
      <c r="CI74" s="177">
        <v>42</v>
      </c>
      <c r="CJ74" s="177">
        <v>53</v>
      </c>
      <c r="CK74" s="178">
        <v>26</v>
      </c>
      <c r="CL74" s="180">
        <v>2124</v>
      </c>
    </row>
    <row r="75" spans="1:90">
      <c r="A75" s="93">
        <f>ROWS($A$3:A73)</f>
        <v>71</v>
      </c>
      <c r="B75" s="106" t="s">
        <v>92</v>
      </c>
      <c r="C75" s="243"/>
      <c r="D75" s="314" t="s">
        <v>14</v>
      </c>
      <c r="E75" s="333"/>
      <c r="F75" s="156">
        <v>6074</v>
      </c>
      <c r="G75" s="177">
        <v>1708</v>
      </c>
      <c r="H75" s="177">
        <v>7931</v>
      </c>
      <c r="I75" s="178">
        <v>1523</v>
      </c>
      <c r="J75" s="181"/>
      <c r="K75" s="156">
        <f t="shared" si="151"/>
        <v>23</v>
      </c>
      <c r="L75" s="177">
        <f t="shared" si="152"/>
        <v>858</v>
      </c>
      <c r="M75" s="177">
        <f t="shared" si="153"/>
        <v>406</v>
      </c>
      <c r="N75" s="177">
        <f t="shared" si="154"/>
        <v>60</v>
      </c>
      <c r="O75" s="177">
        <f t="shared" si="155"/>
        <v>14</v>
      </c>
      <c r="P75" s="177">
        <f>'2001'!AZ75+'2001'!BA75</f>
        <v>2449</v>
      </c>
      <c r="Q75" s="177">
        <f>'2001'!AU75</f>
        <v>102</v>
      </c>
      <c r="R75" s="177">
        <f t="shared" si="156"/>
        <v>1397</v>
      </c>
      <c r="S75" s="177">
        <f t="shared" si="157"/>
        <v>259</v>
      </c>
      <c r="T75" s="177">
        <f t="shared" si="158"/>
        <v>491</v>
      </c>
      <c r="U75" s="179">
        <f t="shared" si="158"/>
        <v>15</v>
      </c>
      <c r="V75" s="177">
        <f t="shared" si="159"/>
        <v>816</v>
      </c>
      <c r="W75" s="177">
        <f t="shared" si="160"/>
        <v>18</v>
      </c>
      <c r="X75" s="177">
        <f t="shared" si="161"/>
        <v>391</v>
      </c>
      <c r="Y75" s="177">
        <f t="shared" si="162"/>
        <v>359</v>
      </c>
      <c r="Z75" s="177">
        <f t="shared" si="163"/>
        <v>15</v>
      </c>
      <c r="AA75" s="177">
        <f t="shared" si="164"/>
        <v>103</v>
      </c>
      <c r="AB75" s="179">
        <f t="shared" si="165"/>
        <v>6</v>
      </c>
      <c r="AC75" s="177" t="str">
        <f t="shared" si="166"/>
        <v>-</v>
      </c>
      <c r="AD75" s="177">
        <f t="shared" si="167"/>
        <v>1467</v>
      </c>
      <c r="AE75" s="177">
        <f t="shared" si="168"/>
        <v>3100</v>
      </c>
      <c r="AF75" s="177">
        <f t="shared" si="169"/>
        <v>474</v>
      </c>
      <c r="AG75" s="177">
        <f t="shared" si="170"/>
        <v>2650</v>
      </c>
      <c r="AH75" s="177">
        <f t="shared" si="171"/>
        <v>156</v>
      </c>
      <c r="AI75" s="177">
        <f t="shared" si="172"/>
        <v>7</v>
      </c>
      <c r="AJ75" s="177">
        <f t="shared" si="173"/>
        <v>4</v>
      </c>
      <c r="AK75" s="179">
        <f t="shared" si="174"/>
        <v>73</v>
      </c>
      <c r="AL75" s="177">
        <f t="shared" si="175"/>
        <v>15</v>
      </c>
      <c r="AM75" s="177">
        <f t="shared" si="176"/>
        <v>13</v>
      </c>
      <c r="AN75" s="177">
        <f t="shared" si="177"/>
        <v>188</v>
      </c>
      <c r="AO75" s="177">
        <f t="shared" si="178"/>
        <v>65</v>
      </c>
      <c r="AP75" s="177">
        <f t="shared" si="178"/>
        <v>33</v>
      </c>
      <c r="AQ75" s="177">
        <f t="shared" si="179"/>
        <v>11</v>
      </c>
      <c r="AR75" s="177">
        <f t="shared" si="180"/>
        <v>1159</v>
      </c>
      <c r="AS75" s="178">
        <f t="shared" si="181"/>
        <v>39</v>
      </c>
      <c r="AT75" s="181">
        <v>145</v>
      </c>
      <c r="AU75" s="181">
        <v>102</v>
      </c>
      <c r="AV75" s="181">
        <v>259</v>
      </c>
      <c r="AW75" s="181">
        <v>60</v>
      </c>
      <c r="AX75" s="181">
        <v>1252</v>
      </c>
      <c r="AY75" s="177">
        <v>858</v>
      </c>
      <c r="AZ75" s="177">
        <v>139</v>
      </c>
      <c r="BA75" s="177">
        <v>2310</v>
      </c>
      <c r="BB75" s="177">
        <v>491</v>
      </c>
      <c r="BC75" s="177">
        <v>15</v>
      </c>
      <c r="BD75" s="177">
        <v>406</v>
      </c>
      <c r="BE75" s="177">
        <v>14</v>
      </c>
      <c r="BF75" s="179">
        <v>23</v>
      </c>
      <c r="BG75" s="177">
        <v>206</v>
      </c>
      <c r="BH75" s="177">
        <v>9</v>
      </c>
      <c r="BI75" s="177">
        <v>382</v>
      </c>
      <c r="BJ75" s="177">
        <v>610</v>
      </c>
      <c r="BK75" s="177">
        <v>19</v>
      </c>
      <c r="BL75" s="177">
        <v>3</v>
      </c>
      <c r="BM75" s="177">
        <v>15</v>
      </c>
      <c r="BN75" s="177">
        <v>337</v>
      </c>
      <c r="BO75" s="177">
        <v>1</v>
      </c>
      <c r="BP75" s="177">
        <v>6</v>
      </c>
      <c r="BQ75" s="177">
        <v>102</v>
      </c>
      <c r="BR75" s="179">
        <v>18</v>
      </c>
      <c r="BS75" s="177">
        <v>269</v>
      </c>
      <c r="BT75" s="177">
        <v>2831</v>
      </c>
      <c r="BU75" s="177">
        <v>1467</v>
      </c>
      <c r="BV75" s="177">
        <v>2650</v>
      </c>
      <c r="BW75" s="177">
        <v>7</v>
      </c>
      <c r="BX75" s="177" t="s">
        <v>61</v>
      </c>
      <c r="BY75" s="177">
        <v>4</v>
      </c>
      <c r="BZ75" s="177">
        <v>156</v>
      </c>
      <c r="CA75" s="177">
        <v>474</v>
      </c>
      <c r="CB75" s="179">
        <v>73</v>
      </c>
      <c r="CC75" s="177">
        <v>65</v>
      </c>
      <c r="CD75" s="177">
        <v>33</v>
      </c>
      <c r="CE75" s="177">
        <v>15</v>
      </c>
      <c r="CF75" s="177">
        <v>4</v>
      </c>
      <c r="CG75" s="177">
        <v>35</v>
      </c>
      <c r="CH75" s="177">
        <v>13</v>
      </c>
      <c r="CI75" s="177">
        <v>1159</v>
      </c>
      <c r="CJ75" s="177">
        <v>188</v>
      </c>
      <c r="CK75" s="178">
        <v>11</v>
      </c>
      <c r="CL75" s="180">
        <v>17236</v>
      </c>
    </row>
    <row r="76" spans="1:90">
      <c r="A76" s="93">
        <f>ROWS($A$3:A74)</f>
        <v>72</v>
      </c>
      <c r="B76" s="106" t="s">
        <v>93</v>
      </c>
      <c r="C76" s="243"/>
      <c r="D76" s="314" t="s">
        <v>14</v>
      </c>
      <c r="E76" s="333"/>
      <c r="F76" s="156">
        <v>7367</v>
      </c>
      <c r="G76" s="177">
        <v>2434</v>
      </c>
      <c r="H76" s="177">
        <v>6976</v>
      </c>
      <c r="I76" s="178">
        <v>9609</v>
      </c>
      <c r="J76" s="181"/>
      <c r="K76" s="156">
        <f t="shared" si="151"/>
        <v>1883</v>
      </c>
      <c r="L76" s="177">
        <f t="shared" si="152"/>
        <v>775</v>
      </c>
      <c r="M76" s="177">
        <f t="shared" si="153"/>
        <v>429</v>
      </c>
      <c r="N76" s="177">
        <f t="shared" si="154"/>
        <v>780</v>
      </c>
      <c r="O76" s="177">
        <f t="shared" si="155"/>
        <v>410</v>
      </c>
      <c r="P76" s="177">
        <f>'2001'!AZ76+'2001'!BA76</f>
        <v>246</v>
      </c>
      <c r="Q76" s="177">
        <f>'2001'!AU76</f>
        <v>215</v>
      </c>
      <c r="R76" s="177">
        <f t="shared" si="156"/>
        <v>215</v>
      </c>
      <c r="S76" s="177">
        <f t="shared" si="157"/>
        <v>410</v>
      </c>
      <c r="T76" s="177">
        <f t="shared" si="158"/>
        <v>535</v>
      </c>
      <c r="U76" s="179">
        <f t="shared" si="158"/>
        <v>1469</v>
      </c>
      <c r="V76" s="177">
        <f t="shared" si="159"/>
        <v>176</v>
      </c>
      <c r="W76" s="177">
        <f t="shared" si="160"/>
        <v>499</v>
      </c>
      <c r="X76" s="177">
        <f t="shared" si="161"/>
        <v>204</v>
      </c>
      <c r="Y76" s="177">
        <f t="shared" si="162"/>
        <v>303</v>
      </c>
      <c r="Z76" s="177">
        <f t="shared" si="163"/>
        <v>553</v>
      </c>
      <c r="AA76" s="177">
        <f t="shared" si="164"/>
        <v>213</v>
      </c>
      <c r="AB76" s="179">
        <f t="shared" si="165"/>
        <v>486</v>
      </c>
      <c r="AC76" s="177">
        <f t="shared" si="166"/>
        <v>959</v>
      </c>
      <c r="AD76" s="177">
        <f t="shared" si="167"/>
        <v>381</v>
      </c>
      <c r="AE76" s="177">
        <f t="shared" si="168"/>
        <v>1050</v>
      </c>
      <c r="AF76" s="177">
        <f t="shared" si="169"/>
        <v>733</v>
      </c>
      <c r="AG76" s="177">
        <f t="shared" si="170"/>
        <v>862</v>
      </c>
      <c r="AH76" s="177">
        <f t="shared" si="171"/>
        <v>552</v>
      </c>
      <c r="AI76" s="177">
        <f t="shared" si="172"/>
        <v>675</v>
      </c>
      <c r="AJ76" s="177">
        <f t="shared" si="173"/>
        <v>548</v>
      </c>
      <c r="AK76" s="179">
        <f t="shared" si="174"/>
        <v>1216</v>
      </c>
      <c r="AL76" s="177">
        <f t="shared" si="175"/>
        <v>784</v>
      </c>
      <c r="AM76" s="177">
        <f t="shared" si="176"/>
        <v>1747</v>
      </c>
      <c r="AN76" s="177">
        <f t="shared" si="177"/>
        <v>3112</v>
      </c>
      <c r="AO76" s="177">
        <f t="shared" si="178"/>
        <v>894</v>
      </c>
      <c r="AP76" s="177">
        <f t="shared" si="178"/>
        <v>215</v>
      </c>
      <c r="AQ76" s="177">
        <f t="shared" si="179"/>
        <v>964</v>
      </c>
      <c r="AR76" s="177">
        <f t="shared" si="180"/>
        <v>723</v>
      </c>
      <c r="AS76" s="178">
        <f t="shared" si="181"/>
        <v>1170</v>
      </c>
      <c r="AT76" s="181">
        <v>20</v>
      </c>
      <c r="AU76" s="181">
        <v>215</v>
      </c>
      <c r="AV76" s="181">
        <v>410</v>
      </c>
      <c r="AW76" s="181">
        <v>780</v>
      </c>
      <c r="AX76" s="181">
        <v>195</v>
      </c>
      <c r="AY76" s="177">
        <v>775</v>
      </c>
      <c r="AZ76" s="177">
        <v>4</v>
      </c>
      <c r="BA76" s="177">
        <v>242</v>
      </c>
      <c r="BB76" s="177">
        <v>535</v>
      </c>
      <c r="BC76" s="177">
        <v>1469</v>
      </c>
      <c r="BD76" s="177">
        <v>429</v>
      </c>
      <c r="BE76" s="177">
        <v>410</v>
      </c>
      <c r="BF76" s="179">
        <v>1883</v>
      </c>
      <c r="BG76" s="177">
        <v>31</v>
      </c>
      <c r="BH76" s="177">
        <v>22</v>
      </c>
      <c r="BI76" s="177">
        <v>182</v>
      </c>
      <c r="BJ76" s="177">
        <v>145</v>
      </c>
      <c r="BK76" s="177">
        <v>14</v>
      </c>
      <c r="BL76" s="177">
        <v>4</v>
      </c>
      <c r="BM76" s="177">
        <v>553</v>
      </c>
      <c r="BN76" s="177">
        <v>285</v>
      </c>
      <c r="BO76" s="177">
        <v>12</v>
      </c>
      <c r="BP76" s="177">
        <v>486</v>
      </c>
      <c r="BQ76" s="177">
        <v>201</v>
      </c>
      <c r="BR76" s="179">
        <v>499</v>
      </c>
      <c r="BS76" s="177">
        <v>23</v>
      </c>
      <c r="BT76" s="177">
        <v>1027</v>
      </c>
      <c r="BU76" s="177">
        <v>381</v>
      </c>
      <c r="BV76" s="177">
        <v>862</v>
      </c>
      <c r="BW76" s="177">
        <v>675</v>
      </c>
      <c r="BX76" s="177">
        <v>959</v>
      </c>
      <c r="BY76" s="177">
        <v>548</v>
      </c>
      <c r="BZ76" s="177">
        <v>552</v>
      </c>
      <c r="CA76" s="177">
        <v>733</v>
      </c>
      <c r="CB76" s="179">
        <v>1216</v>
      </c>
      <c r="CC76" s="177">
        <v>894</v>
      </c>
      <c r="CD76" s="177">
        <v>215</v>
      </c>
      <c r="CE76" s="177">
        <v>784</v>
      </c>
      <c r="CF76" s="177">
        <v>44</v>
      </c>
      <c r="CG76" s="177">
        <v>1126</v>
      </c>
      <c r="CH76" s="177">
        <v>1747</v>
      </c>
      <c r="CI76" s="177">
        <v>723</v>
      </c>
      <c r="CJ76" s="177">
        <v>3112</v>
      </c>
      <c r="CK76" s="178">
        <v>964</v>
      </c>
      <c r="CL76" s="180">
        <v>26386</v>
      </c>
    </row>
    <row r="77" spans="1:90">
      <c r="A77" s="93">
        <f>ROWS($A$3:A75)</f>
        <v>73</v>
      </c>
      <c r="B77" s="106" t="s">
        <v>94</v>
      </c>
      <c r="C77" s="243"/>
      <c r="D77" s="314" t="s">
        <v>14</v>
      </c>
      <c r="E77" s="333"/>
      <c r="F77" s="156">
        <v>1858</v>
      </c>
      <c r="G77" s="177">
        <v>197</v>
      </c>
      <c r="H77" s="177">
        <v>280</v>
      </c>
      <c r="I77" s="178">
        <v>1177</v>
      </c>
      <c r="J77" s="181"/>
      <c r="K77" s="156">
        <f t="shared" si="151"/>
        <v>198</v>
      </c>
      <c r="L77" s="177">
        <f t="shared" si="152"/>
        <v>35</v>
      </c>
      <c r="M77" s="177">
        <f t="shared" si="153"/>
        <v>207</v>
      </c>
      <c r="N77" s="177">
        <f t="shared" si="154"/>
        <v>47</v>
      </c>
      <c r="O77" s="177">
        <f t="shared" si="155"/>
        <v>88</v>
      </c>
      <c r="P77" s="177">
        <f>'2001'!AZ77+'2001'!BA77</f>
        <v>38</v>
      </c>
      <c r="Q77" s="177">
        <f>'2001'!AU77</f>
        <v>34</v>
      </c>
      <c r="R77" s="177">
        <f>AX77</f>
        <v>50</v>
      </c>
      <c r="S77" s="177">
        <f t="shared" si="157"/>
        <v>19</v>
      </c>
      <c r="T77" s="177">
        <f t="shared" si="158"/>
        <v>314</v>
      </c>
      <c r="U77" s="179">
        <f t="shared" si="158"/>
        <v>828</v>
      </c>
      <c r="V77" s="177">
        <f>BJ77</f>
        <v>4</v>
      </c>
      <c r="W77" s="177">
        <f t="shared" si="160"/>
        <v>22</v>
      </c>
      <c r="X77" s="177">
        <f t="shared" si="161"/>
        <v>21</v>
      </c>
      <c r="Y77" s="177">
        <f t="shared" si="162"/>
        <v>63</v>
      </c>
      <c r="Z77" s="177">
        <f t="shared" si="163"/>
        <v>60</v>
      </c>
      <c r="AA77" s="177">
        <f>BQ77</f>
        <v>12</v>
      </c>
      <c r="AB77" s="179">
        <f t="shared" si="165"/>
        <v>15</v>
      </c>
      <c r="AC77" s="177">
        <f t="shared" si="166"/>
        <v>42</v>
      </c>
      <c r="AD77" s="177">
        <f t="shared" si="167"/>
        <v>21</v>
      </c>
      <c r="AE77" s="177">
        <f t="shared" si="168"/>
        <v>27</v>
      </c>
      <c r="AF77" s="177">
        <f t="shared" si="169"/>
        <v>9</v>
      </c>
      <c r="AG77" s="177">
        <f t="shared" si="170"/>
        <v>43</v>
      </c>
      <c r="AH77" s="177">
        <f t="shared" si="171"/>
        <v>41</v>
      </c>
      <c r="AI77" s="177">
        <f t="shared" si="172"/>
        <v>46</v>
      </c>
      <c r="AJ77" s="177">
        <f t="shared" si="173"/>
        <v>11</v>
      </c>
      <c r="AK77" s="179">
        <f t="shared" si="174"/>
        <v>40</v>
      </c>
      <c r="AL77" s="177">
        <f t="shared" si="175"/>
        <v>13</v>
      </c>
      <c r="AM77" s="177">
        <f t="shared" si="176"/>
        <v>302</v>
      </c>
      <c r="AN77" s="177">
        <f t="shared" si="177"/>
        <v>106</v>
      </c>
      <c r="AO77" s="177">
        <f t="shared" si="178"/>
        <v>59</v>
      </c>
      <c r="AP77" s="177">
        <f t="shared" si="178"/>
        <v>14</v>
      </c>
      <c r="AQ77" s="177">
        <f t="shared" si="179"/>
        <v>172</v>
      </c>
      <c r="AR77" s="177">
        <f t="shared" si="180"/>
        <v>33</v>
      </c>
      <c r="AS77" s="178">
        <f t="shared" si="181"/>
        <v>478</v>
      </c>
      <c r="AT77" s="181" t="s">
        <v>61</v>
      </c>
      <c r="AU77" s="181">
        <v>34</v>
      </c>
      <c r="AV77" s="181">
        <v>19</v>
      </c>
      <c r="AW77" s="181">
        <v>47</v>
      </c>
      <c r="AX77" s="181">
        <v>50</v>
      </c>
      <c r="AY77" s="177">
        <v>35</v>
      </c>
      <c r="AZ77" s="177">
        <v>1</v>
      </c>
      <c r="BA77" s="177">
        <v>37</v>
      </c>
      <c r="BB77" s="177">
        <v>314</v>
      </c>
      <c r="BC77" s="177">
        <v>828</v>
      </c>
      <c r="BD77" s="177">
        <v>207</v>
      </c>
      <c r="BE77" s="177">
        <v>88</v>
      </c>
      <c r="BF77" s="179">
        <v>198</v>
      </c>
      <c r="BG77" s="177" t="s">
        <v>61</v>
      </c>
      <c r="BH77" s="177">
        <v>3</v>
      </c>
      <c r="BI77" s="177">
        <v>18</v>
      </c>
      <c r="BJ77" s="177">
        <v>4</v>
      </c>
      <c r="BK77" s="177">
        <v>2</v>
      </c>
      <c r="BL77" s="177">
        <v>1</v>
      </c>
      <c r="BM77" s="177">
        <v>60</v>
      </c>
      <c r="BN77" s="177">
        <v>60</v>
      </c>
      <c r="BO77" s="177" t="s">
        <v>61</v>
      </c>
      <c r="BP77" s="177">
        <v>15</v>
      </c>
      <c r="BQ77" s="177">
        <v>12</v>
      </c>
      <c r="BR77" s="179">
        <v>22</v>
      </c>
      <c r="BS77" s="177">
        <v>1</v>
      </c>
      <c r="BT77" s="177">
        <v>26</v>
      </c>
      <c r="BU77" s="177">
        <v>21</v>
      </c>
      <c r="BV77" s="177">
        <v>43</v>
      </c>
      <c r="BW77" s="177">
        <v>46</v>
      </c>
      <c r="BX77" s="177">
        <v>42</v>
      </c>
      <c r="BY77" s="177">
        <v>11</v>
      </c>
      <c r="BZ77" s="177">
        <v>41</v>
      </c>
      <c r="CA77" s="177">
        <v>9</v>
      </c>
      <c r="CB77" s="179">
        <v>40</v>
      </c>
      <c r="CC77" s="177">
        <v>59</v>
      </c>
      <c r="CD77" s="177">
        <v>14</v>
      </c>
      <c r="CE77" s="177">
        <v>13</v>
      </c>
      <c r="CF77" s="177">
        <v>22</v>
      </c>
      <c r="CG77" s="177">
        <v>456</v>
      </c>
      <c r="CH77" s="177">
        <v>302</v>
      </c>
      <c r="CI77" s="177">
        <v>33</v>
      </c>
      <c r="CJ77" s="177">
        <v>106</v>
      </c>
      <c r="CK77" s="178">
        <v>172</v>
      </c>
      <c r="CL77" s="180">
        <v>3512</v>
      </c>
    </row>
    <row r="78" spans="1:90">
      <c r="A78" s="93">
        <f>ROWS($A$3:A76)</f>
        <v>74</v>
      </c>
      <c r="B78" s="106" t="s">
        <v>95</v>
      </c>
      <c r="C78" s="243"/>
      <c r="D78" s="314" t="s">
        <v>14</v>
      </c>
      <c r="E78" s="333"/>
      <c r="F78" s="156">
        <v>2840</v>
      </c>
      <c r="G78" s="177">
        <v>976</v>
      </c>
      <c r="H78" s="177">
        <f>982+3718</f>
        <v>4700</v>
      </c>
      <c r="I78" s="178">
        <f>1250+486</f>
        <v>1736</v>
      </c>
      <c r="J78" s="181"/>
      <c r="K78" s="156">
        <f t="shared" si="151"/>
        <v>477</v>
      </c>
      <c r="L78" s="177">
        <f t="shared" si="152"/>
        <v>348</v>
      </c>
      <c r="M78" s="177">
        <f t="shared" si="153"/>
        <v>301</v>
      </c>
      <c r="N78" s="177">
        <f t="shared" si="154"/>
        <v>128</v>
      </c>
      <c r="O78" s="177">
        <f t="shared" si="155"/>
        <v>84</v>
      </c>
      <c r="P78" s="177">
        <f>'2001'!AZ78+'2001'!BA78</f>
        <v>208</v>
      </c>
      <c r="Q78" s="177">
        <f>'2001'!AU78</f>
        <v>61</v>
      </c>
      <c r="R78" s="177">
        <f t="shared" si="156"/>
        <v>169</v>
      </c>
      <c r="S78" s="177">
        <f t="shared" si="157"/>
        <v>111</v>
      </c>
      <c r="T78" s="177">
        <f t="shared" si="158"/>
        <v>296</v>
      </c>
      <c r="U78" s="179">
        <f t="shared" si="158"/>
        <v>657</v>
      </c>
      <c r="V78" s="177">
        <f t="shared" si="159"/>
        <v>70</v>
      </c>
      <c r="W78" s="177">
        <f t="shared" si="160"/>
        <v>270</v>
      </c>
      <c r="X78" s="177">
        <f t="shared" si="161"/>
        <v>60</v>
      </c>
      <c r="Y78" s="177">
        <f t="shared" si="162"/>
        <v>115</v>
      </c>
      <c r="Z78" s="177">
        <f t="shared" si="163"/>
        <v>207</v>
      </c>
      <c r="AA78" s="177">
        <f t="shared" si="164"/>
        <v>67</v>
      </c>
      <c r="AB78" s="179">
        <f t="shared" si="165"/>
        <v>187</v>
      </c>
      <c r="AC78" s="177">
        <f t="shared" si="166"/>
        <v>395</v>
      </c>
      <c r="AD78" s="177">
        <f t="shared" si="167"/>
        <v>558</v>
      </c>
      <c r="AE78" s="177">
        <f t="shared" si="168"/>
        <v>573</v>
      </c>
      <c r="AF78" s="177">
        <f t="shared" si="169"/>
        <v>372</v>
      </c>
      <c r="AG78" s="177">
        <f t="shared" si="170"/>
        <v>1532</v>
      </c>
      <c r="AH78" s="177">
        <f t="shared" si="171"/>
        <v>127</v>
      </c>
      <c r="AI78" s="177">
        <f t="shared" si="172"/>
        <v>368</v>
      </c>
      <c r="AJ78" s="177">
        <f t="shared" si="173"/>
        <v>103</v>
      </c>
      <c r="AK78" s="179">
        <f t="shared" si="174"/>
        <v>672</v>
      </c>
      <c r="AL78" s="177">
        <f t="shared" si="175"/>
        <v>124</v>
      </c>
      <c r="AM78" s="177">
        <f t="shared" si="176"/>
        <v>216</v>
      </c>
      <c r="AN78" s="177">
        <f t="shared" si="177"/>
        <v>258</v>
      </c>
      <c r="AO78" s="177">
        <f t="shared" si="178"/>
        <v>199</v>
      </c>
      <c r="AP78" s="177">
        <f t="shared" si="178"/>
        <v>72</v>
      </c>
      <c r="AQ78" s="177">
        <f t="shared" si="179"/>
        <v>296</v>
      </c>
      <c r="AR78" s="177">
        <f t="shared" si="180"/>
        <v>194</v>
      </c>
      <c r="AS78" s="178">
        <f t="shared" si="181"/>
        <v>377</v>
      </c>
      <c r="AT78" s="181">
        <v>22</v>
      </c>
      <c r="AU78" s="181">
        <v>61</v>
      </c>
      <c r="AV78" s="181">
        <v>111</v>
      </c>
      <c r="AW78" s="181">
        <v>128</v>
      </c>
      <c r="AX78" s="181">
        <v>147</v>
      </c>
      <c r="AY78" s="177">
        <v>348</v>
      </c>
      <c r="AZ78" s="177">
        <v>6</v>
      </c>
      <c r="BA78" s="177">
        <v>202</v>
      </c>
      <c r="BB78" s="177">
        <v>296</v>
      </c>
      <c r="BC78" s="177">
        <v>657</v>
      </c>
      <c r="BD78" s="177">
        <v>301</v>
      </c>
      <c r="BE78" s="177">
        <v>84</v>
      </c>
      <c r="BF78" s="179">
        <v>477</v>
      </c>
      <c r="BG78" s="177">
        <v>9</v>
      </c>
      <c r="BH78" s="177">
        <v>6</v>
      </c>
      <c r="BI78" s="177">
        <v>54</v>
      </c>
      <c r="BJ78" s="177">
        <v>61</v>
      </c>
      <c r="BK78" s="177">
        <v>7</v>
      </c>
      <c r="BL78" s="177">
        <v>1</v>
      </c>
      <c r="BM78" s="177">
        <v>207</v>
      </c>
      <c r="BN78" s="177">
        <v>107</v>
      </c>
      <c r="BO78" s="177">
        <v>8</v>
      </c>
      <c r="BP78" s="177">
        <v>187</v>
      </c>
      <c r="BQ78" s="177">
        <v>59</v>
      </c>
      <c r="BR78" s="179">
        <v>270</v>
      </c>
      <c r="BS78" s="177">
        <v>20</v>
      </c>
      <c r="BT78" s="177">
        <v>553</v>
      </c>
      <c r="BU78" s="177">
        <v>558</v>
      </c>
      <c r="BV78" s="177">
        <f>199+1333</f>
        <v>1532</v>
      </c>
      <c r="BW78" s="177">
        <f>119+249</f>
        <v>368</v>
      </c>
      <c r="BX78" s="177">
        <v>395</v>
      </c>
      <c r="BY78" s="177">
        <v>103</v>
      </c>
      <c r="BZ78" s="177">
        <v>127</v>
      </c>
      <c r="CA78" s="177">
        <f>104+268</f>
        <v>372</v>
      </c>
      <c r="CB78" s="179">
        <f>136+536</f>
        <v>672</v>
      </c>
      <c r="CC78" s="177">
        <v>199</v>
      </c>
      <c r="CD78" s="177">
        <v>72</v>
      </c>
      <c r="CE78" s="177">
        <v>124</v>
      </c>
      <c r="CF78" s="177">
        <v>16</v>
      </c>
      <c r="CG78" s="177">
        <v>361</v>
      </c>
      <c r="CH78" s="177">
        <v>216</v>
      </c>
      <c r="CI78" s="177">
        <v>194</v>
      </c>
      <c r="CJ78" s="177">
        <v>258</v>
      </c>
      <c r="CK78" s="178">
        <v>296</v>
      </c>
      <c r="CL78" s="180">
        <f>4477+5775</f>
        <v>10252</v>
      </c>
    </row>
    <row r="79" spans="1:90">
      <c r="A79" s="93">
        <f>ROWS($A$3:A77)</f>
        <v>75</v>
      </c>
      <c r="B79" s="67" t="s">
        <v>84</v>
      </c>
      <c r="C79" s="242"/>
      <c r="D79" s="314"/>
      <c r="E79" s="333"/>
      <c r="F79" s="156"/>
      <c r="G79" s="177"/>
      <c r="H79" s="177"/>
      <c r="I79" s="178"/>
      <c r="J79" s="181"/>
      <c r="K79" s="156"/>
      <c r="L79" s="177"/>
      <c r="M79" s="177"/>
      <c r="N79" s="177"/>
      <c r="O79" s="177"/>
      <c r="P79" s="177"/>
      <c r="Q79" s="177"/>
      <c r="R79" s="177"/>
      <c r="S79" s="177"/>
      <c r="T79" s="177"/>
      <c r="U79" s="179"/>
      <c r="V79" s="177"/>
      <c r="W79" s="177"/>
      <c r="X79" s="177"/>
      <c r="Y79" s="177"/>
      <c r="Z79" s="177"/>
      <c r="AA79" s="177"/>
      <c r="AB79" s="179"/>
      <c r="AC79" s="177"/>
      <c r="AD79" s="177"/>
      <c r="AE79" s="177"/>
      <c r="AF79" s="177"/>
      <c r="AG79" s="177"/>
      <c r="AH79" s="177"/>
      <c r="AI79" s="177"/>
      <c r="AJ79" s="177"/>
      <c r="AK79" s="179"/>
      <c r="AL79" s="177"/>
      <c r="AM79" s="177"/>
      <c r="AN79" s="177"/>
      <c r="AO79" s="177"/>
      <c r="AP79" s="177"/>
      <c r="AQ79" s="177"/>
      <c r="AR79" s="177"/>
      <c r="AS79" s="178"/>
      <c r="AT79" s="177"/>
      <c r="AU79" s="177"/>
      <c r="AV79" s="177"/>
      <c r="AW79" s="177"/>
      <c r="AX79" s="177"/>
      <c r="AY79" s="177"/>
      <c r="AZ79" s="177"/>
      <c r="BA79" s="177"/>
      <c r="BB79" s="177"/>
      <c r="BC79" s="177"/>
      <c r="BD79" s="177"/>
      <c r="BE79" s="177"/>
      <c r="BF79" s="179"/>
      <c r="BG79" s="177"/>
      <c r="BH79" s="177"/>
      <c r="BI79" s="177"/>
      <c r="BJ79" s="177"/>
      <c r="BK79" s="177"/>
      <c r="BL79" s="177"/>
      <c r="BM79" s="177"/>
      <c r="BN79" s="177"/>
      <c r="BO79" s="177"/>
      <c r="BP79" s="177"/>
      <c r="BQ79" s="177"/>
      <c r="BR79" s="179"/>
      <c r="BS79" s="177"/>
      <c r="BT79" s="177"/>
      <c r="BU79" s="177"/>
      <c r="BV79" s="177"/>
      <c r="BW79" s="177"/>
      <c r="BX79" s="177"/>
      <c r="BY79" s="177"/>
      <c r="BZ79" s="177"/>
      <c r="CA79" s="177"/>
      <c r="CB79" s="179"/>
      <c r="CC79" s="177"/>
      <c r="CD79" s="177"/>
      <c r="CE79" s="177"/>
      <c r="CF79" s="177"/>
      <c r="CG79" s="177"/>
      <c r="CH79" s="177"/>
      <c r="CI79" s="177"/>
      <c r="CJ79" s="177"/>
      <c r="CK79" s="178"/>
      <c r="CL79" s="180" t="s">
        <v>60</v>
      </c>
    </row>
    <row r="80" spans="1:90">
      <c r="A80" s="93">
        <f>ROWS($A$3:A78)</f>
        <v>76</v>
      </c>
      <c r="B80" s="106" t="s">
        <v>96</v>
      </c>
      <c r="C80" s="245">
        <v>2002</v>
      </c>
      <c r="D80" s="314" t="s">
        <v>14</v>
      </c>
      <c r="E80" s="337">
        <v>40876</v>
      </c>
      <c r="F80" s="379">
        <f>SUM(AT80:BF80)</f>
        <v>18751</v>
      </c>
      <c r="G80" s="380">
        <f>SUM(BG80:BR80)</f>
        <v>7556</v>
      </c>
      <c r="H80" s="380">
        <f>SUM(BS80:CB80)</f>
        <v>17562</v>
      </c>
      <c r="I80" s="381">
        <f>SUM(CC80:CK80)</f>
        <v>15765</v>
      </c>
      <c r="J80" s="181"/>
      <c r="K80" s="156">
        <f t="shared" ref="K80:K85" si="182">BF80</f>
        <v>2998</v>
      </c>
      <c r="L80" s="177">
        <f t="shared" ref="L80:L85" si="183">AY80</f>
        <v>1675</v>
      </c>
      <c r="M80" s="177">
        <f t="shared" ref="M80:M85" si="184">BD80</f>
        <v>2453</v>
      </c>
      <c r="N80" s="177">
        <f t="shared" ref="N80:N85" si="185">AW80</f>
        <v>1050</v>
      </c>
      <c r="O80" s="177">
        <f t="shared" ref="O80:O85" si="186">BE80</f>
        <v>798</v>
      </c>
      <c r="P80" s="177">
        <f>'2001'!AZ80+'2001'!BA80</f>
        <v>2523</v>
      </c>
      <c r="Q80" s="177">
        <f>'2001'!AU80</f>
        <v>856</v>
      </c>
      <c r="R80" s="177">
        <f t="shared" ref="R80:R85" si="187">AT80+AX80</f>
        <v>1235</v>
      </c>
      <c r="S80" s="177">
        <f t="shared" ref="S80:S85" si="188">AV80</f>
        <v>676</v>
      </c>
      <c r="T80" s="177">
        <f t="shared" ref="T80:U85" si="189">BB80</f>
        <v>1643</v>
      </c>
      <c r="U80" s="179">
        <f t="shared" si="189"/>
        <v>2844</v>
      </c>
      <c r="V80" s="177">
        <f t="shared" ref="V80:V85" si="190">BG80+BJ80</f>
        <v>722</v>
      </c>
      <c r="W80" s="177">
        <f t="shared" ref="W80:W85" si="191">BR80</f>
        <v>1237</v>
      </c>
      <c r="X80" s="177">
        <f t="shared" ref="X80:X85" si="192">BH80+BI80</f>
        <v>1089</v>
      </c>
      <c r="Y80" s="177">
        <f t="shared" ref="Y80:Y85" si="193">BK80+BL80+BN80</f>
        <v>1281</v>
      </c>
      <c r="Z80" s="177">
        <f t="shared" ref="Z80:Z85" si="194">BM80</f>
        <v>1626</v>
      </c>
      <c r="AA80" s="177">
        <f t="shared" ref="AA80:AA85" si="195">BO80+BQ80</f>
        <v>648</v>
      </c>
      <c r="AB80" s="179">
        <f t="shared" ref="AB80:AB85" si="196">BP80</f>
        <v>953</v>
      </c>
      <c r="AC80" s="177">
        <f t="shared" ref="AC80:AC85" si="197">BX80</f>
        <v>1736</v>
      </c>
      <c r="AD80" s="177">
        <f t="shared" ref="AD80:AD85" si="198">BU80</f>
        <v>1669</v>
      </c>
      <c r="AE80" s="177">
        <f t="shared" ref="AE80:AE85" si="199">BS80+BT80</f>
        <v>3011</v>
      </c>
      <c r="AF80" s="177">
        <f t="shared" ref="AF80:AF85" si="200">CA80</f>
        <v>1338</v>
      </c>
      <c r="AG80" s="177">
        <f t="shared" ref="AG80:AG85" si="201">BV80</f>
        <v>4329</v>
      </c>
      <c r="AH80" s="177">
        <f t="shared" ref="AH80:AH85" si="202">BZ80</f>
        <v>1177</v>
      </c>
      <c r="AI80" s="177">
        <f t="shared" ref="AI80:AI85" si="203">BW80</f>
        <v>1463</v>
      </c>
      <c r="AJ80" s="177">
        <f t="shared" ref="AJ80:AJ85" si="204">BY80</f>
        <v>734</v>
      </c>
      <c r="AK80" s="179">
        <f t="shared" ref="AK80:AK85" si="205">CB80</f>
        <v>2105</v>
      </c>
      <c r="AL80" s="177">
        <f t="shared" ref="AL80:AL85" si="206">CE80</f>
        <v>1205</v>
      </c>
      <c r="AM80" s="177">
        <f t="shared" ref="AM80:AM85" si="207">CH80</f>
        <v>2880</v>
      </c>
      <c r="AN80" s="177">
        <f t="shared" ref="AN80:AN85" si="208">CJ80</f>
        <v>3619</v>
      </c>
      <c r="AO80" s="177">
        <f t="shared" ref="AO80:AP85" si="209">CC80</f>
        <v>1555</v>
      </c>
      <c r="AP80" s="177">
        <f t="shared" si="209"/>
        <v>477</v>
      </c>
      <c r="AQ80" s="177">
        <f t="shared" ref="AQ80:AQ85" si="210">CK80</f>
        <v>1769</v>
      </c>
      <c r="AR80" s="177">
        <f t="shared" ref="AR80:AR85" si="211">CI80</f>
        <v>1630</v>
      </c>
      <c r="AS80" s="178">
        <f t="shared" ref="AS80:AS85" si="212">CF80+CG80</f>
        <v>2630</v>
      </c>
      <c r="AT80" s="181">
        <v>168</v>
      </c>
      <c r="AU80" s="181">
        <v>856</v>
      </c>
      <c r="AV80" s="181">
        <v>676</v>
      </c>
      <c r="AW80" s="181">
        <v>1050</v>
      </c>
      <c r="AX80" s="181">
        <v>1067</v>
      </c>
      <c r="AY80" s="177">
        <v>1675</v>
      </c>
      <c r="AZ80" s="177">
        <v>304</v>
      </c>
      <c r="BA80" s="177">
        <v>2219</v>
      </c>
      <c r="BB80" s="177">
        <v>1643</v>
      </c>
      <c r="BC80" s="177">
        <v>2844</v>
      </c>
      <c r="BD80" s="177">
        <v>2453</v>
      </c>
      <c r="BE80" s="177">
        <v>798</v>
      </c>
      <c r="BF80" s="179">
        <v>2998</v>
      </c>
      <c r="BG80" s="177">
        <v>184</v>
      </c>
      <c r="BH80" s="177">
        <v>75</v>
      </c>
      <c r="BI80" s="177">
        <v>1014</v>
      </c>
      <c r="BJ80" s="177">
        <v>538</v>
      </c>
      <c r="BK80" s="177">
        <v>153</v>
      </c>
      <c r="BL80" s="177">
        <v>87</v>
      </c>
      <c r="BM80" s="177">
        <v>1626</v>
      </c>
      <c r="BN80" s="177">
        <v>1041</v>
      </c>
      <c r="BO80" s="177">
        <v>41</v>
      </c>
      <c r="BP80" s="177">
        <v>953</v>
      </c>
      <c r="BQ80" s="177">
        <v>607</v>
      </c>
      <c r="BR80" s="179">
        <v>1237</v>
      </c>
      <c r="BS80" s="177">
        <v>382</v>
      </c>
      <c r="BT80" s="177">
        <v>2629</v>
      </c>
      <c r="BU80" s="177">
        <v>1669</v>
      </c>
      <c r="BV80" s="177">
        <v>4329</v>
      </c>
      <c r="BW80" s="177">
        <v>1463</v>
      </c>
      <c r="BX80" s="177">
        <v>1736</v>
      </c>
      <c r="BY80" s="177">
        <v>734</v>
      </c>
      <c r="BZ80" s="177">
        <v>1177</v>
      </c>
      <c r="CA80" s="177">
        <v>1338</v>
      </c>
      <c r="CB80" s="179">
        <v>2105</v>
      </c>
      <c r="CC80" s="177">
        <v>1555</v>
      </c>
      <c r="CD80" s="177">
        <v>477</v>
      </c>
      <c r="CE80" s="177">
        <v>1205</v>
      </c>
      <c r="CF80" s="177">
        <v>201</v>
      </c>
      <c r="CG80" s="177">
        <v>2429</v>
      </c>
      <c r="CH80" s="177">
        <v>2880</v>
      </c>
      <c r="CI80" s="177">
        <v>1630</v>
      </c>
      <c r="CJ80" s="177">
        <v>3619</v>
      </c>
      <c r="CK80" s="178">
        <v>1769</v>
      </c>
      <c r="CL80" s="318">
        <v>59634</v>
      </c>
    </row>
    <row r="81" spans="1:90">
      <c r="A81" s="93">
        <f>ROWS($A$3:A79)</f>
        <v>77</v>
      </c>
      <c r="B81" s="106" t="s">
        <v>97</v>
      </c>
      <c r="C81" s="243"/>
      <c r="D81" s="314" t="s">
        <v>14</v>
      </c>
      <c r="E81" s="334"/>
      <c r="F81" s="156"/>
      <c r="G81" s="177"/>
      <c r="H81" s="177"/>
      <c r="I81" s="178"/>
      <c r="J81" s="181"/>
      <c r="K81" s="156">
        <f t="shared" si="182"/>
        <v>0</v>
      </c>
      <c r="L81" s="177">
        <f t="shared" si="183"/>
        <v>0</v>
      </c>
      <c r="M81" s="177">
        <f t="shared" si="184"/>
        <v>0</v>
      </c>
      <c r="N81" s="177">
        <f t="shared" si="185"/>
        <v>0</v>
      </c>
      <c r="O81" s="177">
        <f t="shared" si="186"/>
        <v>0</v>
      </c>
      <c r="P81" s="177">
        <f>'2001'!AZ81+'2001'!BA81</f>
        <v>0</v>
      </c>
      <c r="Q81" s="177">
        <f>'2001'!AU81</f>
        <v>0</v>
      </c>
      <c r="R81" s="177">
        <f t="shared" si="187"/>
        <v>0</v>
      </c>
      <c r="S81" s="177">
        <f t="shared" si="188"/>
        <v>0</v>
      </c>
      <c r="T81" s="177">
        <f t="shared" si="189"/>
        <v>0</v>
      </c>
      <c r="U81" s="179">
        <f t="shared" si="189"/>
        <v>0</v>
      </c>
      <c r="V81" s="177">
        <f t="shared" si="190"/>
        <v>0</v>
      </c>
      <c r="W81" s="177">
        <f t="shared" si="191"/>
        <v>0</v>
      </c>
      <c r="X81" s="177">
        <f t="shared" si="192"/>
        <v>0</v>
      </c>
      <c r="Y81" s="177">
        <f t="shared" si="193"/>
        <v>0</v>
      </c>
      <c r="Z81" s="177">
        <f t="shared" si="194"/>
        <v>0</v>
      </c>
      <c r="AA81" s="177">
        <f t="shared" si="195"/>
        <v>0</v>
      </c>
      <c r="AB81" s="179">
        <f t="shared" si="196"/>
        <v>0</v>
      </c>
      <c r="AC81" s="177">
        <f t="shared" si="197"/>
        <v>0</v>
      </c>
      <c r="AD81" s="177">
        <f t="shared" si="198"/>
        <v>0</v>
      </c>
      <c r="AE81" s="177">
        <f t="shared" si="199"/>
        <v>0</v>
      </c>
      <c r="AF81" s="177">
        <f t="shared" si="200"/>
        <v>0</v>
      </c>
      <c r="AG81" s="177">
        <f t="shared" si="201"/>
        <v>0</v>
      </c>
      <c r="AH81" s="177">
        <f t="shared" si="202"/>
        <v>0</v>
      </c>
      <c r="AI81" s="177">
        <f t="shared" si="203"/>
        <v>0</v>
      </c>
      <c r="AJ81" s="177">
        <f t="shared" si="204"/>
        <v>0</v>
      </c>
      <c r="AK81" s="179">
        <f t="shared" si="205"/>
        <v>0</v>
      </c>
      <c r="AL81" s="177">
        <f t="shared" si="206"/>
        <v>0</v>
      </c>
      <c r="AM81" s="177">
        <f t="shared" si="207"/>
        <v>0</v>
      </c>
      <c r="AN81" s="177">
        <f t="shared" si="208"/>
        <v>0</v>
      </c>
      <c r="AO81" s="177">
        <f t="shared" si="209"/>
        <v>0</v>
      </c>
      <c r="AP81" s="177">
        <f t="shared" si="209"/>
        <v>0</v>
      </c>
      <c r="AQ81" s="177">
        <f t="shared" si="210"/>
        <v>0</v>
      </c>
      <c r="AR81" s="177">
        <f t="shared" si="211"/>
        <v>0</v>
      </c>
      <c r="AS81" s="178">
        <f t="shared" si="212"/>
        <v>0</v>
      </c>
      <c r="AT81" s="181"/>
      <c r="AU81" s="181"/>
      <c r="AV81" s="181"/>
      <c r="AW81" s="181"/>
      <c r="AX81" s="181"/>
      <c r="AY81" s="177"/>
      <c r="AZ81" s="177"/>
      <c r="BA81" s="177"/>
      <c r="BB81" s="177"/>
      <c r="BC81" s="177"/>
      <c r="BD81" s="177"/>
      <c r="BE81" s="177"/>
      <c r="BF81" s="179"/>
      <c r="BG81" s="177"/>
      <c r="BH81" s="177"/>
      <c r="BI81" s="177"/>
      <c r="BJ81" s="177"/>
      <c r="BK81" s="177"/>
      <c r="BL81" s="177"/>
      <c r="BM81" s="177"/>
      <c r="BN81" s="177"/>
      <c r="BO81" s="177"/>
      <c r="BP81" s="177"/>
      <c r="BQ81" s="177"/>
      <c r="BR81" s="179"/>
      <c r="BS81" s="177"/>
      <c r="BT81" s="177"/>
      <c r="BU81" s="177"/>
      <c r="BV81" s="177"/>
      <c r="BW81" s="177"/>
      <c r="BX81" s="177"/>
      <c r="BY81" s="177"/>
      <c r="BZ81" s="177"/>
      <c r="CA81" s="177"/>
      <c r="CB81" s="179"/>
      <c r="CC81" s="177"/>
      <c r="CD81" s="177"/>
      <c r="CE81" s="177"/>
      <c r="CF81" s="177"/>
      <c r="CG81" s="177"/>
      <c r="CH81" s="177"/>
      <c r="CI81" s="177"/>
      <c r="CJ81" s="177"/>
      <c r="CK81" s="178"/>
      <c r="CL81" s="189"/>
    </row>
    <row r="82" spans="1:90">
      <c r="A82" s="93">
        <f>ROWS($A$3:A80)</f>
        <v>78</v>
      </c>
      <c r="B82" s="62" t="s">
        <v>98</v>
      </c>
      <c r="C82" s="312"/>
      <c r="D82" s="314" t="s">
        <v>14</v>
      </c>
      <c r="E82" s="334"/>
      <c r="F82" s="182">
        <f>IF(OR(F80&lt;0.1,F81&lt;0.1),0,F81/F80)</f>
        <v>0</v>
      </c>
      <c r="G82" s="183">
        <f>IF(OR(G80&lt;0.1,G81&lt;0.1),0,G81/G80)</f>
        <v>0</v>
      </c>
      <c r="H82" s="183">
        <f>IF(OR(H80&lt;0.1,H81&lt;0.1),0,H81/H80)</f>
        <v>0</v>
      </c>
      <c r="I82" s="184">
        <f>IF(OR(I80&lt;0.1,I81&lt;0.1),0,I81/I80)</f>
        <v>0</v>
      </c>
      <c r="J82" s="181"/>
      <c r="K82" s="185">
        <f t="shared" si="182"/>
        <v>0</v>
      </c>
      <c r="L82" s="186">
        <f t="shared" si="183"/>
        <v>0</v>
      </c>
      <c r="M82" s="186">
        <f t="shared" si="184"/>
        <v>0</v>
      </c>
      <c r="N82" s="186">
        <f t="shared" si="185"/>
        <v>0</v>
      </c>
      <c r="O82" s="186">
        <f t="shared" si="186"/>
        <v>0</v>
      </c>
      <c r="P82" s="183">
        <v>0</v>
      </c>
      <c r="Q82" s="186">
        <f>'2001'!AU82</f>
        <v>0</v>
      </c>
      <c r="R82" s="186">
        <f t="shared" si="187"/>
        <v>0</v>
      </c>
      <c r="S82" s="186">
        <f t="shared" si="188"/>
        <v>0</v>
      </c>
      <c r="T82" s="186">
        <f t="shared" si="189"/>
        <v>0</v>
      </c>
      <c r="U82" s="187">
        <f t="shared" si="189"/>
        <v>0</v>
      </c>
      <c r="V82" s="186">
        <f t="shared" si="190"/>
        <v>0</v>
      </c>
      <c r="W82" s="186">
        <f t="shared" si="191"/>
        <v>0</v>
      </c>
      <c r="X82" s="186">
        <f t="shared" si="192"/>
        <v>0</v>
      </c>
      <c r="Y82" s="186">
        <f t="shared" si="193"/>
        <v>0</v>
      </c>
      <c r="Z82" s="186">
        <f t="shared" si="194"/>
        <v>0</v>
      </c>
      <c r="AA82" s="186">
        <f t="shared" si="195"/>
        <v>0</v>
      </c>
      <c r="AB82" s="187">
        <f t="shared" si="196"/>
        <v>0</v>
      </c>
      <c r="AC82" s="186">
        <f t="shared" si="197"/>
        <v>0</v>
      </c>
      <c r="AD82" s="186">
        <f t="shared" si="198"/>
        <v>0</v>
      </c>
      <c r="AE82" s="186">
        <f t="shared" si="199"/>
        <v>0</v>
      </c>
      <c r="AF82" s="186">
        <f t="shared" si="200"/>
        <v>0</v>
      </c>
      <c r="AG82" s="186">
        <f t="shared" si="201"/>
        <v>0</v>
      </c>
      <c r="AH82" s="186">
        <f t="shared" si="202"/>
        <v>0</v>
      </c>
      <c r="AI82" s="186">
        <f t="shared" si="203"/>
        <v>0</v>
      </c>
      <c r="AJ82" s="186">
        <f t="shared" si="204"/>
        <v>0</v>
      </c>
      <c r="AK82" s="187">
        <f t="shared" si="205"/>
        <v>0</v>
      </c>
      <c r="AL82" s="186">
        <f t="shared" si="206"/>
        <v>0</v>
      </c>
      <c r="AM82" s="186">
        <f t="shared" si="207"/>
        <v>0</v>
      </c>
      <c r="AN82" s="186">
        <f t="shared" si="208"/>
        <v>0</v>
      </c>
      <c r="AO82" s="186">
        <f t="shared" si="209"/>
        <v>0</v>
      </c>
      <c r="AP82" s="186">
        <f t="shared" si="209"/>
        <v>0</v>
      </c>
      <c r="AQ82" s="186">
        <f t="shared" si="210"/>
        <v>0</v>
      </c>
      <c r="AR82" s="186">
        <f t="shared" si="211"/>
        <v>0</v>
      </c>
      <c r="AS82" s="190">
        <f t="shared" si="212"/>
        <v>0</v>
      </c>
      <c r="AT82" s="186">
        <v>0</v>
      </c>
      <c r="AU82" s="183">
        <f t="shared" ref="AU82:CL82" si="213">IF(OR(AU80&lt;0.1,AU81&lt;0.1),0,AU81/AU80)</f>
        <v>0</v>
      </c>
      <c r="AV82" s="183">
        <f t="shared" si="213"/>
        <v>0</v>
      </c>
      <c r="AW82" s="183">
        <f t="shared" si="213"/>
        <v>0</v>
      </c>
      <c r="AX82" s="183">
        <f t="shared" si="213"/>
        <v>0</v>
      </c>
      <c r="AY82" s="183">
        <f t="shared" si="213"/>
        <v>0</v>
      </c>
      <c r="AZ82" s="183">
        <f t="shared" si="213"/>
        <v>0</v>
      </c>
      <c r="BA82" s="183">
        <f t="shared" si="213"/>
        <v>0</v>
      </c>
      <c r="BB82" s="183">
        <f t="shared" si="213"/>
        <v>0</v>
      </c>
      <c r="BC82" s="183">
        <f t="shared" si="213"/>
        <v>0</v>
      </c>
      <c r="BD82" s="183">
        <f t="shared" si="213"/>
        <v>0</v>
      </c>
      <c r="BE82" s="183">
        <f t="shared" si="213"/>
        <v>0</v>
      </c>
      <c r="BF82" s="188">
        <f t="shared" si="213"/>
        <v>0</v>
      </c>
      <c r="BG82" s="183">
        <f t="shared" si="213"/>
        <v>0</v>
      </c>
      <c r="BH82" s="183">
        <f t="shared" si="213"/>
        <v>0</v>
      </c>
      <c r="BI82" s="183">
        <f t="shared" si="213"/>
        <v>0</v>
      </c>
      <c r="BJ82" s="183">
        <f t="shared" si="213"/>
        <v>0</v>
      </c>
      <c r="BK82" s="183">
        <f t="shared" si="213"/>
        <v>0</v>
      </c>
      <c r="BL82" s="183">
        <f t="shared" si="213"/>
        <v>0</v>
      </c>
      <c r="BM82" s="183">
        <f t="shared" si="213"/>
        <v>0</v>
      </c>
      <c r="BN82" s="183">
        <f t="shared" si="213"/>
        <v>0</v>
      </c>
      <c r="BO82" s="183">
        <f t="shared" si="213"/>
        <v>0</v>
      </c>
      <c r="BP82" s="183">
        <f t="shared" si="213"/>
        <v>0</v>
      </c>
      <c r="BQ82" s="183">
        <f t="shared" si="213"/>
        <v>0</v>
      </c>
      <c r="BR82" s="188">
        <f t="shared" si="213"/>
        <v>0</v>
      </c>
      <c r="BS82" s="183">
        <f t="shared" si="213"/>
        <v>0</v>
      </c>
      <c r="BT82" s="183">
        <f t="shared" si="213"/>
        <v>0</v>
      </c>
      <c r="BU82" s="183">
        <f t="shared" si="213"/>
        <v>0</v>
      </c>
      <c r="BV82" s="183">
        <f t="shared" si="213"/>
        <v>0</v>
      </c>
      <c r="BW82" s="183">
        <f t="shared" si="213"/>
        <v>0</v>
      </c>
      <c r="BX82" s="183">
        <f t="shared" si="213"/>
        <v>0</v>
      </c>
      <c r="BY82" s="183">
        <f t="shared" si="213"/>
        <v>0</v>
      </c>
      <c r="BZ82" s="183">
        <f t="shared" si="213"/>
        <v>0</v>
      </c>
      <c r="CA82" s="183">
        <f t="shared" si="213"/>
        <v>0</v>
      </c>
      <c r="CB82" s="188">
        <f t="shared" si="213"/>
        <v>0</v>
      </c>
      <c r="CC82" s="183">
        <f t="shared" si="213"/>
        <v>0</v>
      </c>
      <c r="CD82" s="183">
        <f t="shared" si="213"/>
        <v>0</v>
      </c>
      <c r="CE82" s="183">
        <f t="shared" si="213"/>
        <v>0</v>
      </c>
      <c r="CF82" s="183">
        <f t="shared" si="213"/>
        <v>0</v>
      </c>
      <c r="CG82" s="183">
        <f t="shared" si="213"/>
        <v>0</v>
      </c>
      <c r="CH82" s="183">
        <f t="shared" si="213"/>
        <v>0</v>
      </c>
      <c r="CI82" s="183">
        <f t="shared" si="213"/>
        <v>0</v>
      </c>
      <c r="CJ82" s="183">
        <f t="shared" si="213"/>
        <v>0</v>
      </c>
      <c r="CK82" s="184">
        <f t="shared" si="213"/>
        <v>0</v>
      </c>
      <c r="CL82" s="189">
        <f t="shared" si="213"/>
        <v>0</v>
      </c>
    </row>
    <row r="83" spans="1:90">
      <c r="A83" s="93">
        <f>ROWS($A$3:A81)</f>
        <v>79</v>
      </c>
      <c r="B83" s="106" t="s">
        <v>99</v>
      </c>
      <c r="C83" s="243"/>
      <c r="D83" s="314" t="s">
        <v>1</v>
      </c>
      <c r="E83" s="334"/>
      <c r="F83" s="157"/>
      <c r="G83" s="158"/>
      <c r="H83" s="158"/>
      <c r="I83" s="159"/>
      <c r="J83" s="162"/>
      <c r="K83" s="157">
        <f t="shared" si="182"/>
        <v>0</v>
      </c>
      <c r="L83" s="158">
        <f t="shared" si="183"/>
        <v>0</v>
      </c>
      <c r="M83" s="158">
        <f t="shared" si="184"/>
        <v>0</v>
      </c>
      <c r="N83" s="158">
        <f t="shared" si="185"/>
        <v>0</v>
      </c>
      <c r="O83" s="158">
        <f t="shared" si="186"/>
        <v>0</v>
      </c>
      <c r="P83" s="158">
        <f>'2001'!AZ83+'2001'!BA83</f>
        <v>0</v>
      </c>
      <c r="Q83" s="158">
        <f>'2001'!AU83</f>
        <v>0</v>
      </c>
      <c r="R83" s="158">
        <f t="shared" si="187"/>
        <v>0</v>
      </c>
      <c r="S83" s="158">
        <f t="shared" si="188"/>
        <v>0</v>
      </c>
      <c r="T83" s="158">
        <f t="shared" si="189"/>
        <v>0</v>
      </c>
      <c r="U83" s="160">
        <f t="shared" si="189"/>
        <v>0</v>
      </c>
      <c r="V83" s="158">
        <f t="shared" si="190"/>
        <v>0</v>
      </c>
      <c r="W83" s="158">
        <f t="shared" si="191"/>
        <v>0</v>
      </c>
      <c r="X83" s="158">
        <f t="shared" si="192"/>
        <v>0</v>
      </c>
      <c r="Y83" s="158">
        <f t="shared" si="193"/>
        <v>0</v>
      </c>
      <c r="Z83" s="158">
        <f t="shared" si="194"/>
        <v>0</v>
      </c>
      <c r="AA83" s="158">
        <f t="shared" si="195"/>
        <v>0</v>
      </c>
      <c r="AB83" s="160">
        <f t="shared" si="196"/>
        <v>0</v>
      </c>
      <c r="AC83" s="158">
        <f t="shared" si="197"/>
        <v>0</v>
      </c>
      <c r="AD83" s="158">
        <f t="shared" si="198"/>
        <v>0</v>
      </c>
      <c r="AE83" s="158">
        <f t="shared" si="199"/>
        <v>0</v>
      </c>
      <c r="AF83" s="158">
        <f t="shared" si="200"/>
        <v>0</v>
      </c>
      <c r="AG83" s="158">
        <f t="shared" si="201"/>
        <v>0</v>
      </c>
      <c r="AH83" s="158">
        <f t="shared" si="202"/>
        <v>0</v>
      </c>
      <c r="AI83" s="158">
        <f t="shared" si="203"/>
        <v>0</v>
      </c>
      <c r="AJ83" s="158">
        <f t="shared" si="204"/>
        <v>0</v>
      </c>
      <c r="AK83" s="160">
        <f t="shared" si="205"/>
        <v>0</v>
      </c>
      <c r="AL83" s="158">
        <f t="shared" si="206"/>
        <v>0</v>
      </c>
      <c r="AM83" s="158">
        <f t="shared" si="207"/>
        <v>0</v>
      </c>
      <c r="AN83" s="158">
        <f t="shared" si="208"/>
        <v>0</v>
      </c>
      <c r="AO83" s="158">
        <f t="shared" si="209"/>
        <v>0</v>
      </c>
      <c r="AP83" s="158">
        <f t="shared" si="209"/>
        <v>0</v>
      </c>
      <c r="AQ83" s="158">
        <f t="shared" si="210"/>
        <v>0</v>
      </c>
      <c r="AR83" s="158">
        <f t="shared" si="211"/>
        <v>0</v>
      </c>
      <c r="AS83" s="159">
        <f t="shared" si="212"/>
        <v>0</v>
      </c>
      <c r="AT83" s="162"/>
      <c r="AU83" s="162"/>
      <c r="AV83" s="162"/>
      <c r="AW83" s="162"/>
      <c r="AX83" s="162"/>
      <c r="AY83" s="158"/>
      <c r="AZ83" s="158"/>
      <c r="BA83" s="158"/>
      <c r="BB83" s="158"/>
      <c r="BC83" s="158"/>
      <c r="BD83" s="158"/>
      <c r="BE83" s="158"/>
      <c r="BF83" s="160"/>
      <c r="BG83" s="158"/>
      <c r="BH83" s="158"/>
      <c r="BI83" s="158"/>
      <c r="BJ83" s="158"/>
      <c r="BK83" s="158"/>
      <c r="BL83" s="158"/>
      <c r="BM83" s="158"/>
      <c r="BN83" s="158"/>
      <c r="BO83" s="158"/>
      <c r="BP83" s="158"/>
      <c r="BQ83" s="158"/>
      <c r="BR83" s="160"/>
      <c r="BS83" s="158"/>
      <c r="BT83" s="158"/>
      <c r="BU83" s="158"/>
      <c r="BV83" s="158"/>
      <c r="BW83" s="158"/>
      <c r="BX83" s="158"/>
      <c r="BY83" s="158"/>
      <c r="BZ83" s="158"/>
      <c r="CA83" s="158"/>
      <c r="CB83" s="160"/>
      <c r="CC83" s="158"/>
      <c r="CD83" s="158"/>
      <c r="CE83" s="158"/>
      <c r="CF83" s="158"/>
      <c r="CG83" s="158"/>
      <c r="CH83" s="158"/>
      <c r="CI83" s="158"/>
      <c r="CJ83" s="158"/>
      <c r="CK83" s="159"/>
      <c r="CL83" s="161"/>
    </row>
    <row r="84" spans="1:90">
      <c r="A84" s="93">
        <f>ROWS($A$3:A82)</f>
        <v>80</v>
      </c>
      <c r="B84" s="106" t="s">
        <v>100</v>
      </c>
      <c r="C84" s="243"/>
      <c r="D84" s="314" t="s">
        <v>1</v>
      </c>
      <c r="E84" s="334"/>
      <c r="F84" s="157"/>
      <c r="G84" s="158"/>
      <c r="H84" s="158"/>
      <c r="I84" s="159"/>
      <c r="J84" s="162"/>
      <c r="K84" s="157">
        <f t="shared" si="182"/>
        <v>0</v>
      </c>
      <c r="L84" s="158">
        <f t="shared" si="183"/>
        <v>0</v>
      </c>
      <c r="M84" s="158">
        <f t="shared" si="184"/>
        <v>0</v>
      </c>
      <c r="N84" s="158">
        <f t="shared" si="185"/>
        <v>0</v>
      </c>
      <c r="O84" s="158">
        <f t="shared" si="186"/>
        <v>0</v>
      </c>
      <c r="P84" s="158">
        <f>'2001'!AZ84+'2001'!BA84</f>
        <v>0</v>
      </c>
      <c r="Q84" s="158">
        <f>'2001'!AU84</f>
        <v>0</v>
      </c>
      <c r="R84" s="158">
        <f t="shared" si="187"/>
        <v>0</v>
      </c>
      <c r="S84" s="158">
        <f t="shared" si="188"/>
        <v>0</v>
      </c>
      <c r="T84" s="158">
        <f t="shared" si="189"/>
        <v>0</v>
      </c>
      <c r="U84" s="160">
        <f t="shared" si="189"/>
        <v>0</v>
      </c>
      <c r="V84" s="158">
        <f t="shared" si="190"/>
        <v>0</v>
      </c>
      <c r="W84" s="158">
        <f t="shared" si="191"/>
        <v>0</v>
      </c>
      <c r="X84" s="158">
        <f t="shared" si="192"/>
        <v>0</v>
      </c>
      <c r="Y84" s="158">
        <f t="shared" si="193"/>
        <v>0</v>
      </c>
      <c r="Z84" s="158">
        <f t="shared" si="194"/>
        <v>0</v>
      </c>
      <c r="AA84" s="158">
        <f t="shared" si="195"/>
        <v>0</v>
      </c>
      <c r="AB84" s="160">
        <f t="shared" si="196"/>
        <v>0</v>
      </c>
      <c r="AC84" s="158">
        <f t="shared" si="197"/>
        <v>0</v>
      </c>
      <c r="AD84" s="158">
        <f t="shared" si="198"/>
        <v>0</v>
      </c>
      <c r="AE84" s="158">
        <f t="shared" si="199"/>
        <v>0</v>
      </c>
      <c r="AF84" s="158">
        <f t="shared" si="200"/>
        <v>0</v>
      </c>
      <c r="AG84" s="158">
        <f t="shared" si="201"/>
        <v>0</v>
      </c>
      <c r="AH84" s="158">
        <f t="shared" si="202"/>
        <v>0</v>
      </c>
      <c r="AI84" s="158">
        <f t="shared" si="203"/>
        <v>0</v>
      </c>
      <c r="AJ84" s="158">
        <f t="shared" si="204"/>
        <v>0</v>
      </c>
      <c r="AK84" s="160">
        <f t="shared" si="205"/>
        <v>0</v>
      </c>
      <c r="AL84" s="158">
        <f t="shared" si="206"/>
        <v>0</v>
      </c>
      <c r="AM84" s="158">
        <f t="shared" si="207"/>
        <v>0</v>
      </c>
      <c r="AN84" s="158">
        <f t="shared" si="208"/>
        <v>0</v>
      </c>
      <c r="AO84" s="158">
        <f t="shared" si="209"/>
        <v>0</v>
      </c>
      <c r="AP84" s="158">
        <f t="shared" si="209"/>
        <v>0</v>
      </c>
      <c r="AQ84" s="158">
        <f t="shared" si="210"/>
        <v>0</v>
      </c>
      <c r="AR84" s="158">
        <f t="shared" si="211"/>
        <v>0</v>
      </c>
      <c r="AS84" s="159">
        <f t="shared" si="212"/>
        <v>0</v>
      </c>
      <c r="AT84" s="162"/>
      <c r="AU84" s="162"/>
      <c r="AV84" s="162"/>
      <c r="AW84" s="162"/>
      <c r="AX84" s="162"/>
      <c r="AY84" s="158"/>
      <c r="AZ84" s="158"/>
      <c r="BA84" s="158"/>
      <c r="BB84" s="158"/>
      <c r="BC84" s="158"/>
      <c r="BD84" s="158"/>
      <c r="BE84" s="158"/>
      <c r="BF84" s="160"/>
      <c r="BG84" s="158"/>
      <c r="BH84" s="158"/>
      <c r="BI84" s="158"/>
      <c r="BJ84" s="158"/>
      <c r="BK84" s="158"/>
      <c r="BL84" s="158"/>
      <c r="BM84" s="158"/>
      <c r="BN84" s="158"/>
      <c r="BO84" s="158"/>
      <c r="BP84" s="158"/>
      <c r="BQ84" s="158"/>
      <c r="BR84" s="160"/>
      <c r="BS84" s="158"/>
      <c r="BT84" s="158"/>
      <c r="BU84" s="158"/>
      <c r="BV84" s="158"/>
      <c r="BW84" s="158"/>
      <c r="BX84" s="158"/>
      <c r="BY84" s="158"/>
      <c r="BZ84" s="158"/>
      <c r="CA84" s="158"/>
      <c r="CB84" s="160"/>
      <c r="CC84" s="158"/>
      <c r="CD84" s="158"/>
      <c r="CE84" s="158"/>
      <c r="CF84" s="158"/>
      <c r="CG84" s="158"/>
      <c r="CH84" s="158"/>
      <c r="CI84" s="158"/>
      <c r="CJ84" s="158"/>
      <c r="CK84" s="159"/>
      <c r="CL84" s="161"/>
    </row>
    <row r="85" spans="1:90">
      <c r="A85" s="93">
        <f>ROWS($A$3:A83)</f>
        <v>81</v>
      </c>
      <c r="B85" s="106" t="s">
        <v>101</v>
      </c>
      <c r="C85" s="243"/>
      <c r="D85" s="314" t="s">
        <v>1</v>
      </c>
      <c r="E85" s="334"/>
      <c r="F85" s="157"/>
      <c r="G85" s="158"/>
      <c r="H85" s="158"/>
      <c r="I85" s="159"/>
      <c r="J85" s="162"/>
      <c r="K85" s="157">
        <f t="shared" si="182"/>
        <v>0</v>
      </c>
      <c r="L85" s="158">
        <f t="shared" si="183"/>
        <v>0</v>
      </c>
      <c r="M85" s="158">
        <f t="shared" si="184"/>
        <v>0</v>
      </c>
      <c r="N85" s="158">
        <f t="shared" si="185"/>
        <v>0</v>
      </c>
      <c r="O85" s="158">
        <f t="shared" si="186"/>
        <v>0</v>
      </c>
      <c r="P85" s="158">
        <f>'2001'!AZ85+'2001'!BA85</f>
        <v>0</v>
      </c>
      <c r="Q85" s="158">
        <f>'2001'!AU85</f>
        <v>0</v>
      </c>
      <c r="R85" s="158">
        <f t="shared" si="187"/>
        <v>0</v>
      </c>
      <c r="S85" s="158">
        <f t="shared" si="188"/>
        <v>0</v>
      </c>
      <c r="T85" s="158">
        <f t="shared" si="189"/>
        <v>0</v>
      </c>
      <c r="U85" s="160">
        <f t="shared" si="189"/>
        <v>0</v>
      </c>
      <c r="V85" s="158">
        <f t="shared" si="190"/>
        <v>0</v>
      </c>
      <c r="W85" s="158">
        <f t="shared" si="191"/>
        <v>0</v>
      </c>
      <c r="X85" s="158">
        <f t="shared" si="192"/>
        <v>0</v>
      </c>
      <c r="Y85" s="158">
        <f t="shared" si="193"/>
        <v>0</v>
      </c>
      <c r="Z85" s="158">
        <f t="shared" si="194"/>
        <v>0</v>
      </c>
      <c r="AA85" s="158">
        <f t="shared" si="195"/>
        <v>0</v>
      </c>
      <c r="AB85" s="160">
        <f t="shared" si="196"/>
        <v>0</v>
      </c>
      <c r="AC85" s="158">
        <f t="shared" si="197"/>
        <v>0</v>
      </c>
      <c r="AD85" s="158">
        <f t="shared" si="198"/>
        <v>0</v>
      </c>
      <c r="AE85" s="158">
        <f t="shared" si="199"/>
        <v>0</v>
      </c>
      <c r="AF85" s="158">
        <f t="shared" si="200"/>
        <v>0</v>
      </c>
      <c r="AG85" s="158">
        <f t="shared" si="201"/>
        <v>0</v>
      </c>
      <c r="AH85" s="158">
        <f t="shared" si="202"/>
        <v>0</v>
      </c>
      <c r="AI85" s="158">
        <f t="shared" si="203"/>
        <v>0</v>
      </c>
      <c r="AJ85" s="158">
        <f t="shared" si="204"/>
        <v>0</v>
      </c>
      <c r="AK85" s="160">
        <f t="shared" si="205"/>
        <v>0</v>
      </c>
      <c r="AL85" s="158">
        <f t="shared" si="206"/>
        <v>0</v>
      </c>
      <c r="AM85" s="158">
        <f t="shared" si="207"/>
        <v>0</v>
      </c>
      <c r="AN85" s="158">
        <f t="shared" si="208"/>
        <v>0</v>
      </c>
      <c r="AO85" s="158">
        <f t="shared" si="209"/>
        <v>0</v>
      </c>
      <c r="AP85" s="158">
        <f t="shared" si="209"/>
        <v>0</v>
      </c>
      <c r="AQ85" s="158">
        <f t="shared" si="210"/>
        <v>0</v>
      </c>
      <c r="AR85" s="158">
        <f t="shared" si="211"/>
        <v>0</v>
      </c>
      <c r="AS85" s="159">
        <f t="shared" si="212"/>
        <v>0</v>
      </c>
      <c r="AT85" s="162"/>
      <c r="AU85" s="162"/>
      <c r="AV85" s="162"/>
      <c r="AW85" s="162"/>
      <c r="AX85" s="162"/>
      <c r="AY85" s="158"/>
      <c r="AZ85" s="158"/>
      <c r="BA85" s="158"/>
      <c r="BB85" s="158"/>
      <c r="BC85" s="158"/>
      <c r="BD85" s="158"/>
      <c r="BE85" s="158"/>
      <c r="BF85" s="160"/>
      <c r="BG85" s="158"/>
      <c r="BH85" s="158"/>
      <c r="BI85" s="158"/>
      <c r="BJ85" s="158"/>
      <c r="BK85" s="158"/>
      <c r="BL85" s="158"/>
      <c r="BM85" s="158"/>
      <c r="BN85" s="158"/>
      <c r="BO85" s="158"/>
      <c r="BP85" s="158"/>
      <c r="BQ85" s="158"/>
      <c r="BR85" s="160"/>
      <c r="BS85" s="158"/>
      <c r="BT85" s="158"/>
      <c r="BU85" s="158"/>
      <c r="BV85" s="158"/>
      <c r="BW85" s="158"/>
      <c r="BX85" s="158"/>
      <c r="BY85" s="158"/>
      <c r="BZ85" s="158"/>
      <c r="CA85" s="158"/>
      <c r="CB85" s="160"/>
      <c r="CC85" s="158"/>
      <c r="CD85" s="158"/>
      <c r="CE85" s="158"/>
      <c r="CF85" s="158"/>
      <c r="CG85" s="158"/>
      <c r="CH85" s="158"/>
      <c r="CI85" s="158"/>
      <c r="CJ85" s="158"/>
      <c r="CK85" s="159"/>
      <c r="CL85" s="161"/>
    </row>
    <row r="86" spans="1:90">
      <c r="A86" s="93">
        <f>ROWS($A$3:A84)</f>
        <v>82</v>
      </c>
      <c r="B86" s="67" t="s">
        <v>202</v>
      </c>
      <c r="C86" s="242">
        <v>2001</v>
      </c>
      <c r="D86" s="314"/>
      <c r="E86" s="333"/>
      <c r="F86" s="156"/>
      <c r="G86" s="177"/>
      <c r="H86" s="177"/>
      <c r="I86" s="178"/>
      <c r="J86" s="181"/>
      <c r="K86" s="156"/>
      <c r="L86" s="177"/>
      <c r="M86" s="177"/>
      <c r="N86" s="177"/>
      <c r="O86" s="177"/>
      <c r="P86" s="177"/>
      <c r="Q86" s="177"/>
      <c r="R86" s="181"/>
      <c r="S86" s="177"/>
      <c r="T86" s="177"/>
      <c r="U86" s="179"/>
      <c r="V86" s="177"/>
      <c r="W86" s="177"/>
      <c r="X86" s="177"/>
      <c r="Y86" s="177"/>
      <c r="Z86" s="177"/>
      <c r="AA86" s="177"/>
      <c r="AB86" s="179"/>
      <c r="AC86" s="177"/>
      <c r="AD86" s="177"/>
      <c r="AE86" s="177"/>
      <c r="AF86" s="177"/>
      <c r="AG86" s="177"/>
      <c r="AH86" s="177"/>
      <c r="AI86" s="177"/>
      <c r="AJ86" s="177"/>
      <c r="AK86" s="179"/>
      <c r="AL86" s="177"/>
      <c r="AM86" s="177"/>
      <c r="AN86" s="177"/>
      <c r="AO86" s="177"/>
      <c r="AP86" s="177"/>
      <c r="AQ86" s="177"/>
      <c r="AR86" s="177"/>
      <c r="AS86" s="178"/>
      <c r="AT86" s="181"/>
      <c r="AU86" s="177"/>
      <c r="AV86" s="177"/>
      <c r="AW86" s="177"/>
      <c r="AX86" s="177"/>
      <c r="AY86" s="177"/>
      <c r="AZ86" s="177"/>
      <c r="BA86" s="177"/>
      <c r="BB86" s="177"/>
      <c r="BC86" s="177"/>
      <c r="BD86" s="177"/>
      <c r="BE86" s="177"/>
      <c r="BF86" s="179"/>
      <c r="BG86" s="177"/>
      <c r="BH86" s="177"/>
      <c r="BI86" s="177"/>
      <c r="BJ86" s="177"/>
      <c r="BK86" s="177"/>
      <c r="BL86" s="177"/>
      <c r="BM86" s="177"/>
      <c r="BN86" s="177"/>
      <c r="BO86" s="177"/>
      <c r="BP86" s="177"/>
      <c r="BQ86" s="177"/>
      <c r="BR86" s="179"/>
      <c r="BS86" s="177"/>
      <c r="BT86" s="177"/>
      <c r="BU86" s="177"/>
      <c r="BV86" s="177"/>
      <c r="BW86" s="177"/>
      <c r="BX86" s="177"/>
      <c r="BY86" s="177"/>
      <c r="BZ86" s="177"/>
      <c r="CA86" s="177"/>
      <c r="CB86" s="179"/>
      <c r="CC86" s="177"/>
      <c r="CD86" s="177"/>
      <c r="CE86" s="177"/>
      <c r="CF86" s="177"/>
      <c r="CG86" s="177"/>
      <c r="CH86" s="177"/>
      <c r="CI86" s="177"/>
      <c r="CJ86" s="177"/>
      <c r="CK86" s="178"/>
      <c r="CL86" s="180"/>
    </row>
    <row r="87" spans="1:90">
      <c r="A87" s="93">
        <f>ROWS($A$3:A85)</f>
        <v>83</v>
      </c>
      <c r="B87" s="62" t="s">
        <v>200</v>
      </c>
      <c r="C87" s="330"/>
      <c r="D87" s="314" t="s">
        <v>201</v>
      </c>
      <c r="E87" s="316">
        <v>40694</v>
      </c>
      <c r="F87" s="191">
        <v>23986</v>
      </c>
      <c r="G87" s="191">
        <v>18292</v>
      </c>
      <c r="H87" s="191">
        <v>13822</v>
      </c>
      <c r="I87" s="192">
        <v>17321</v>
      </c>
      <c r="J87" s="347"/>
      <c r="K87" s="156">
        <f>BF87</f>
        <v>16340</v>
      </c>
      <c r="L87" s="177">
        <f>AY87</f>
        <v>24677</v>
      </c>
      <c r="M87" s="177">
        <f>BD87</f>
        <v>11486</v>
      </c>
      <c r="N87" s="177">
        <f>AW87</f>
        <v>22352</v>
      </c>
      <c r="O87" s="177">
        <f>BE87</f>
        <v>17734</v>
      </c>
      <c r="P87" s="183">
        <f>(AZ101*AZ87+BA101*BA87)/(AZ101+BA101)</f>
        <v>26919.850877192981</v>
      </c>
      <c r="Q87" s="177">
        <f>'2008'!AU87</f>
        <v>31866</v>
      </c>
      <c r="R87" s="183">
        <f>(AT101*AT87+AX101*AX87)/(AT101+AX101)</f>
        <v>49850.720588235294</v>
      </c>
      <c r="S87" s="177">
        <f>AV87</f>
        <v>34498</v>
      </c>
      <c r="T87" s="177">
        <f>BB87</f>
        <v>22918</v>
      </c>
      <c r="U87" s="179">
        <f>BC87</f>
        <v>17884</v>
      </c>
      <c r="V87" s="183">
        <f>(BG101*BG87+BJ101*BJ87)/(BG101+BJ101)</f>
        <v>24981.589285714286</v>
      </c>
      <c r="W87" s="177">
        <f>BR87</f>
        <v>9860</v>
      </c>
      <c r="X87" s="183">
        <f>(BH101*BH87+BI101*BI87)/(BH101+BI101)</f>
        <v>20223.251497005989</v>
      </c>
      <c r="Y87" s="183">
        <f>(BN101*BN87)/(BK101+BL101+BN101)</f>
        <v>23007.467391304348</v>
      </c>
      <c r="Z87" s="177">
        <f>BM87</f>
        <v>11165</v>
      </c>
      <c r="AA87" s="183">
        <f>(BO101*BO87+BQ101*BQ87)/(BO101+BQ101)</f>
        <v>21039.245901639344</v>
      </c>
      <c r="AB87" s="179">
        <f>BP87</f>
        <v>13177</v>
      </c>
      <c r="AC87" s="177">
        <f>BX87</f>
        <v>11848</v>
      </c>
      <c r="AD87" s="177">
        <f>BU87</f>
        <v>22423</v>
      </c>
      <c r="AE87" s="183">
        <f>(BS101*BS87+BT101*BT87)/(BS101+BT101)</f>
        <v>16515.463768115944</v>
      </c>
      <c r="AF87" s="177">
        <f>CA87</f>
        <v>15848</v>
      </c>
      <c r="AG87" s="177">
        <f>BV87</f>
        <v>18219</v>
      </c>
      <c r="AH87" s="177">
        <f>BZ87</f>
        <v>13900</v>
      </c>
      <c r="AI87" s="177">
        <f>BW87</f>
        <v>11384</v>
      </c>
      <c r="AJ87" s="177">
        <f>BY87</f>
        <v>9412</v>
      </c>
      <c r="AK87" s="179">
        <f>CB87</f>
        <v>9605</v>
      </c>
      <c r="AL87" s="177">
        <f>CE87</f>
        <v>10020</v>
      </c>
      <c r="AM87" s="177">
        <f>CH87</f>
        <v>19400</v>
      </c>
      <c r="AN87" s="177">
        <f>CJ87</f>
        <v>13725</v>
      </c>
      <c r="AO87" s="177">
        <f>CC87</f>
        <v>13704</v>
      </c>
      <c r="AP87" s="177">
        <f>CD87</f>
        <v>21749</v>
      </c>
      <c r="AQ87" s="177">
        <f>CK87</f>
        <v>11815</v>
      </c>
      <c r="AR87" s="177">
        <f>CI87</f>
        <v>26491</v>
      </c>
      <c r="AS87" s="184">
        <f>(CG101*CG87)/(CF101+CG101)</f>
        <v>23022.029032258066</v>
      </c>
      <c r="AT87" s="181">
        <v>144808</v>
      </c>
      <c r="AU87" s="191">
        <v>32065</v>
      </c>
      <c r="AV87" s="191">
        <v>34498</v>
      </c>
      <c r="AW87" s="191">
        <v>22352</v>
      </c>
      <c r="AX87" s="191">
        <v>44698</v>
      </c>
      <c r="AY87" s="191">
        <v>24677</v>
      </c>
      <c r="AZ87" s="191">
        <v>47431</v>
      </c>
      <c r="BA87" s="191">
        <v>25578</v>
      </c>
      <c r="BB87" s="191">
        <v>22918</v>
      </c>
      <c r="BC87" s="191">
        <v>17884</v>
      </c>
      <c r="BD87" s="191">
        <v>11486</v>
      </c>
      <c r="BE87" s="191">
        <v>17734</v>
      </c>
      <c r="BF87" s="193">
        <v>16340</v>
      </c>
      <c r="BG87" s="191">
        <v>42124</v>
      </c>
      <c r="BH87" s="191">
        <v>26946</v>
      </c>
      <c r="BI87" s="191">
        <v>19885</v>
      </c>
      <c r="BJ87" s="191">
        <v>21699</v>
      </c>
      <c r="BK87" s="191" t="s">
        <v>252</v>
      </c>
      <c r="BL87" s="191" t="s">
        <v>252</v>
      </c>
      <c r="BM87" s="191">
        <v>11165</v>
      </c>
      <c r="BN87" s="191">
        <v>23783</v>
      </c>
      <c r="BO87" s="191">
        <v>37052</v>
      </c>
      <c r="BP87" s="191">
        <v>13177</v>
      </c>
      <c r="BQ87" s="191">
        <v>20211</v>
      </c>
      <c r="BR87" s="193">
        <v>9860</v>
      </c>
      <c r="BS87" s="191">
        <v>22123</v>
      </c>
      <c r="BT87" s="191">
        <v>16433</v>
      </c>
      <c r="BU87" s="191">
        <v>22423</v>
      </c>
      <c r="BV87" s="191">
        <v>18219</v>
      </c>
      <c r="BW87" s="191">
        <v>11384</v>
      </c>
      <c r="BX87" s="191">
        <v>11848</v>
      </c>
      <c r="BY87" s="191">
        <v>9412</v>
      </c>
      <c r="BZ87" s="191">
        <v>13900</v>
      </c>
      <c r="CA87" s="191">
        <v>15848</v>
      </c>
      <c r="CB87" s="193">
        <v>9605</v>
      </c>
      <c r="CC87" s="191">
        <v>13704</v>
      </c>
      <c r="CD87" s="191">
        <v>21749</v>
      </c>
      <c r="CE87" s="191">
        <v>10020</v>
      </c>
      <c r="CF87" s="191" t="s">
        <v>252</v>
      </c>
      <c r="CG87" s="191">
        <v>23247</v>
      </c>
      <c r="CH87" s="191">
        <v>19400</v>
      </c>
      <c r="CI87" s="191">
        <v>26491</v>
      </c>
      <c r="CJ87" s="191">
        <v>13725</v>
      </c>
      <c r="CK87" s="191">
        <v>11815</v>
      </c>
      <c r="CL87" s="180">
        <v>19239</v>
      </c>
    </row>
    <row r="88" spans="1:90">
      <c r="A88" s="93">
        <f>ROWS($A$3:A86)</f>
        <v>84</v>
      </c>
      <c r="B88" s="67" t="s">
        <v>203</v>
      </c>
      <c r="C88" s="242">
        <v>2001</v>
      </c>
      <c r="D88" s="314"/>
      <c r="E88" s="334"/>
      <c r="F88" s="156"/>
      <c r="G88" s="177"/>
      <c r="H88" s="177"/>
      <c r="I88" s="178"/>
      <c r="J88" s="181"/>
      <c r="K88" s="156"/>
      <c r="L88" s="177"/>
      <c r="M88" s="177"/>
      <c r="N88" s="177"/>
      <c r="O88" s="177"/>
      <c r="P88" s="177"/>
      <c r="Q88" s="177"/>
      <c r="R88" s="177"/>
      <c r="S88" s="177"/>
      <c r="T88" s="177"/>
      <c r="U88" s="179"/>
      <c r="V88" s="177"/>
      <c r="W88" s="177"/>
      <c r="X88" s="177"/>
      <c r="Y88" s="177"/>
      <c r="Z88" s="177"/>
      <c r="AA88" s="177"/>
      <c r="AB88" s="179"/>
      <c r="AC88" s="177"/>
      <c r="AD88" s="177"/>
      <c r="AE88" s="177"/>
      <c r="AF88" s="177"/>
      <c r="AG88" s="177"/>
      <c r="AH88" s="177"/>
      <c r="AI88" s="177"/>
      <c r="AJ88" s="177"/>
      <c r="AK88" s="179"/>
      <c r="AL88" s="177"/>
      <c r="AM88" s="177"/>
      <c r="AN88" s="177"/>
      <c r="AO88" s="177"/>
      <c r="AP88" s="177"/>
      <c r="AQ88" s="177"/>
      <c r="AR88" s="177"/>
      <c r="AS88" s="178"/>
      <c r="AT88" s="177"/>
      <c r="AU88" s="177"/>
      <c r="AV88" s="177"/>
      <c r="AW88" s="177"/>
      <c r="AX88" s="177"/>
      <c r="AY88" s="177"/>
      <c r="AZ88" s="177"/>
      <c r="BA88" s="177"/>
      <c r="BB88" s="177"/>
      <c r="BC88" s="177"/>
      <c r="BD88" s="177"/>
      <c r="BE88" s="177"/>
      <c r="BF88" s="179"/>
      <c r="BG88" s="177"/>
      <c r="BH88" s="177"/>
      <c r="BI88" s="177"/>
      <c r="BJ88" s="177"/>
      <c r="BK88" s="177"/>
      <c r="BL88" s="177"/>
      <c r="BM88" s="177"/>
      <c r="BN88" s="177"/>
      <c r="BO88" s="177"/>
      <c r="BP88" s="177"/>
      <c r="BQ88" s="177"/>
      <c r="BR88" s="179"/>
      <c r="BS88" s="177"/>
      <c r="BT88" s="177"/>
      <c r="BU88" s="177"/>
      <c r="BV88" s="177"/>
      <c r="BW88" s="177"/>
      <c r="BX88" s="177"/>
      <c r="BY88" s="177"/>
      <c r="BZ88" s="177"/>
      <c r="CA88" s="177"/>
      <c r="CB88" s="179"/>
      <c r="CC88" s="177"/>
      <c r="CD88" s="177"/>
      <c r="CE88" s="177"/>
      <c r="CF88" s="177"/>
      <c r="CG88" s="177"/>
      <c r="CH88" s="177"/>
      <c r="CI88" s="177"/>
      <c r="CJ88" s="177"/>
      <c r="CK88" s="178"/>
      <c r="CL88" s="180"/>
    </row>
    <row r="89" spans="1:90">
      <c r="A89" s="93">
        <f>ROWS($A$3:A87)</f>
        <v>85</v>
      </c>
      <c r="B89" s="106" t="s">
        <v>204</v>
      </c>
      <c r="C89" s="245"/>
      <c r="D89" s="314" t="s">
        <v>205</v>
      </c>
      <c r="E89" s="337"/>
      <c r="F89" s="210">
        <v>63.2</v>
      </c>
      <c r="G89" s="213">
        <v>57.5</v>
      </c>
      <c r="H89" s="213">
        <v>57.2</v>
      </c>
      <c r="I89" s="214">
        <v>65.400000000000006</v>
      </c>
      <c r="J89" s="213"/>
      <c r="K89" s="210">
        <f>BF89</f>
        <v>61.2</v>
      </c>
      <c r="L89" s="211">
        <f>AY89</f>
        <v>56.1</v>
      </c>
      <c r="M89" s="211">
        <f>BD89</f>
        <v>61.3</v>
      </c>
      <c r="N89" s="211">
        <f>AW89</f>
        <v>61.4</v>
      </c>
      <c r="O89" s="211">
        <f>BE89</f>
        <v>64.3</v>
      </c>
      <c r="P89" s="211">
        <f>'2001'!BA89</f>
        <v>63.1</v>
      </c>
      <c r="Q89" s="211">
        <f>'2001'!AU89</f>
        <v>68.099999999999994</v>
      </c>
      <c r="R89" s="211">
        <f>AX89</f>
        <v>66.5</v>
      </c>
      <c r="S89" s="211">
        <f>AV89</f>
        <v>58.7</v>
      </c>
      <c r="T89" s="211">
        <f t="shared" ref="T89:U93" si="214">BB89</f>
        <v>66.2</v>
      </c>
      <c r="U89" s="212">
        <f t="shared" si="214"/>
        <v>64.2</v>
      </c>
      <c r="V89" s="211">
        <f>BJ89</f>
        <v>54.1</v>
      </c>
      <c r="W89" s="211">
        <f>BR89</f>
        <v>61.7</v>
      </c>
      <c r="X89" s="211">
        <f>BI89</f>
        <v>54.8</v>
      </c>
      <c r="Y89" s="211">
        <f>BN89</f>
        <v>57.5</v>
      </c>
      <c r="Z89" s="211">
        <f>BM89</f>
        <v>59.3</v>
      </c>
      <c r="AA89" s="211">
        <f>BQ89</f>
        <v>60.4</v>
      </c>
      <c r="AB89" s="212">
        <f>BP89</f>
        <v>55.4</v>
      </c>
      <c r="AC89" s="211">
        <f>BX89</f>
        <v>58.5</v>
      </c>
      <c r="AD89" s="211">
        <f>BU89</f>
        <v>55.6</v>
      </c>
      <c r="AE89" s="211">
        <f>BT89</f>
        <v>55.1</v>
      </c>
      <c r="AF89" s="211">
        <f>CA89</f>
        <v>50.1</v>
      </c>
      <c r="AG89" s="211">
        <f>BV89</f>
        <v>53.7</v>
      </c>
      <c r="AH89" s="211">
        <f>BZ89</f>
        <v>60.3</v>
      </c>
      <c r="AI89" s="211">
        <f>BW89</f>
        <v>63.3</v>
      </c>
      <c r="AJ89" s="211">
        <f>BY89</f>
        <v>55.1</v>
      </c>
      <c r="AK89" s="212">
        <f>CB89</f>
        <v>52.8</v>
      </c>
      <c r="AL89" s="211">
        <f>CE89</f>
        <v>57.2</v>
      </c>
      <c r="AM89" s="211">
        <f>CH89</f>
        <v>68.8</v>
      </c>
      <c r="AN89" s="211">
        <f>CJ89</f>
        <v>66.7</v>
      </c>
      <c r="AO89" s="211">
        <f t="shared" ref="AO89:AP93" si="215">CC89</f>
        <v>57.4</v>
      </c>
      <c r="AP89" s="211">
        <f t="shared" si="215"/>
        <v>65.099999999999994</v>
      </c>
      <c r="AQ89" s="211">
        <f>CK89</f>
        <v>64.8</v>
      </c>
      <c r="AR89" s="211">
        <f>CI89</f>
        <v>63</v>
      </c>
      <c r="AS89" s="214">
        <f>CG89</f>
        <v>67.3</v>
      </c>
      <c r="AT89" s="213">
        <v>53.9</v>
      </c>
      <c r="AU89" s="213">
        <v>68.099999999999994</v>
      </c>
      <c r="AV89" s="213">
        <v>58.7</v>
      </c>
      <c r="AW89" s="213">
        <v>61.4</v>
      </c>
      <c r="AX89" s="213">
        <v>66.5</v>
      </c>
      <c r="AY89" s="213">
        <v>56.1</v>
      </c>
      <c r="AZ89" s="211" t="s">
        <v>252</v>
      </c>
      <c r="BA89" s="213">
        <v>63.1</v>
      </c>
      <c r="BB89" s="213">
        <v>66.2</v>
      </c>
      <c r="BC89" s="213">
        <v>64.2</v>
      </c>
      <c r="BD89" s="213">
        <v>61.3</v>
      </c>
      <c r="BE89" s="213">
        <v>64.3</v>
      </c>
      <c r="BF89" s="212">
        <v>61.2</v>
      </c>
      <c r="BG89" s="211" t="s">
        <v>252</v>
      </c>
      <c r="BH89" s="211" t="s">
        <v>252</v>
      </c>
      <c r="BI89" s="213">
        <v>54.8</v>
      </c>
      <c r="BJ89" s="213">
        <v>54.1</v>
      </c>
      <c r="BK89" s="211" t="s">
        <v>252</v>
      </c>
      <c r="BL89" s="213" t="s">
        <v>252</v>
      </c>
      <c r="BM89" s="213">
        <v>59.3</v>
      </c>
      <c r="BN89" s="213">
        <v>57.5</v>
      </c>
      <c r="BO89" s="211" t="s">
        <v>252</v>
      </c>
      <c r="BP89" s="213">
        <v>55.4</v>
      </c>
      <c r="BQ89" s="213">
        <v>60.4</v>
      </c>
      <c r="BR89" s="212">
        <v>61.7</v>
      </c>
      <c r="BS89" s="211" t="s">
        <v>252</v>
      </c>
      <c r="BT89" s="213">
        <v>55.1</v>
      </c>
      <c r="BU89" s="213">
        <v>55.6</v>
      </c>
      <c r="BV89" s="213">
        <v>53.7</v>
      </c>
      <c r="BW89" s="213">
        <v>63.3</v>
      </c>
      <c r="BX89" s="213">
        <v>58.5</v>
      </c>
      <c r="BY89" s="213">
        <v>55.1</v>
      </c>
      <c r="BZ89" s="213">
        <v>60.3</v>
      </c>
      <c r="CA89" s="213">
        <v>50.1</v>
      </c>
      <c r="CB89" s="212">
        <v>52.8</v>
      </c>
      <c r="CC89" s="213">
        <v>57.4</v>
      </c>
      <c r="CD89" s="213">
        <v>65.099999999999994</v>
      </c>
      <c r="CE89" s="213">
        <v>57.2</v>
      </c>
      <c r="CF89" s="211">
        <v>71.5</v>
      </c>
      <c r="CG89" s="213">
        <v>67.3</v>
      </c>
      <c r="CH89" s="213">
        <v>68.8</v>
      </c>
      <c r="CI89" s="213">
        <v>63</v>
      </c>
      <c r="CJ89" s="213">
        <v>66.7</v>
      </c>
      <c r="CK89" s="214">
        <v>64.8</v>
      </c>
      <c r="CL89" s="215">
        <v>62.1</v>
      </c>
    </row>
    <row r="90" spans="1:90">
      <c r="A90" s="93">
        <f>ROWS($A$3:A88)</f>
        <v>86</v>
      </c>
      <c r="B90" s="106" t="s">
        <v>206</v>
      </c>
      <c r="C90" s="243"/>
      <c r="D90" s="314" t="s">
        <v>205</v>
      </c>
      <c r="E90" s="337"/>
      <c r="F90" s="210">
        <v>598.1</v>
      </c>
      <c r="G90" s="213">
        <v>549.4</v>
      </c>
      <c r="H90" s="213">
        <v>560.9</v>
      </c>
      <c r="I90" s="214">
        <v>601.5</v>
      </c>
      <c r="J90" s="213"/>
      <c r="K90" s="210" t="str">
        <f>BF90</f>
        <v>*</v>
      </c>
      <c r="L90" s="211">
        <f>AY90</f>
        <v>575.20000000000005</v>
      </c>
      <c r="M90" s="211">
        <f>BD90</f>
        <v>580.70000000000005</v>
      </c>
      <c r="N90" s="211" t="str">
        <f>AW90</f>
        <v>*</v>
      </c>
      <c r="O90" s="211">
        <f>BE90</f>
        <v>610.9</v>
      </c>
      <c r="P90" s="211">
        <f>'2001'!BA90</f>
        <v>596.20000000000005</v>
      </c>
      <c r="Q90" s="211">
        <f>'2001'!AU90</f>
        <v>563.79999999999995</v>
      </c>
      <c r="R90" s="211">
        <f>AX90</f>
        <v>605</v>
      </c>
      <c r="S90" s="211">
        <f>AV90</f>
        <v>564.29999999999995</v>
      </c>
      <c r="T90" s="211">
        <f t="shared" si="214"/>
        <v>600</v>
      </c>
      <c r="U90" s="212">
        <f t="shared" si="214"/>
        <v>576.9</v>
      </c>
      <c r="V90" s="211" t="str">
        <f>BJ90</f>
        <v>-</v>
      </c>
      <c r="W90" s="211" t="str">
        <f>BR90</f>
        <v>-</v>
      </c>
      <c r="X90" s="211">
        <f>BI90</f>
        <v>539.70000000000005</v>
      </c>
      <c r="Y90" s="211">
        <f>BN90</f>
        <v>552.20000000000005</v>
      </c>
      <c r="Z90" s="211">
        <f>BM90</f>
        <v>569.79999999999995</v>
      </c>
      <c r="AA90" s="211">
        <f>BQ90</f>
        <v>561</v>
      </c>
      <c r="AB90" s="212" t="str">
        <f>BP90</f>
        <v>*</v>
      </c>
      <c r="AC90" s="211" t="str">
        <f>BX90</f>
        <v>*</v>
      </c>
      <c r="AD90" s="211">
        <f>BU90</f>
        <v>582.5</v>
      </c>
      <c r="AE90" s="211">
        <f>BT90</f>
        <v>567.79999999999995</v>
      </c>
      <c r="AF90" s="211" t="str">
        <f>CA90</f>
        <v>*</v>
      </c>
      <c r="AG90" s="211" t="str">
        <f>BV90</f>
        <v>*</v>
      </c>
      <c r="AH90" s="211" t="str">
        <f>BZ90</f>
        <v>*</v>
      </c>
      <c r="AI90" s="211" t="str">
        <f>BW90</f>
        <v>*</v>
      </c>
      <c r="AJ90" s="211" t="str">
        <f>BY90</f>
        <v>-</v>
      </c>
      <c r="AK90" s="212" t="str">
        <f>CB90</f>
        <v>*</v>
      </c>
      <c r="AL90" s="211" t="str">
        <f>CE90</f>
        <v>*</v>
      </c>
      <c r="AM90" s="211">
        <f>CH90</f>
        <v>622.1</v>
      </c>
      <c r="AN90" s="211" t="str">
        <f>CJ90</f>
        <v>*</v>
      </c>
      <c r="AO90" s="211" t="str">
        <f t="shared" si="215"/>
        <v>*</v>
      </c>
      <c r="AP90" s="211" t="str">
        <f t="shared" si="215"/>
        <v>*</v>
      </c>
      <c r="AQ90" s="211" t="str">
        <f>CK90</f>
        <v>*</v>
      </c>
      <c r="AR90" s="211">
        <f>CI90</f>
        <v>593.6</v>
      </c>
      <c r="AS90" s="214">
        <f>CG90</f>
        <v>589.20000000000005</v>
      </c>
      <c r="AT90" s="213">
        <v>565.79999999999995</v>
      </c>
      <c r="AU90" s="213">
        <v>563.79999999999995</v>
      </c>
      <c r="AV90" s="213">
        <v>564.29999999999995</v>
      </c>
      <c r="AW90" s="213" t="s">
        <v>252</v>
      </c>
      <c r="AX90" s="213">
        <v>605</v>
      </c>
      <c r="AY90" s="213">
        <v>575.20000000000005</v>
      </c>
      <c r="AZ90" s="211" t="s">
        <v>252</v>
      </c>
      <c r="BA90" s="213">
        <v>596.20000000000005</v>
      </c>
      <c r="BB90" s="213">
        <v>600</v>
      </c>
      <c r="BC90" s="213">
        <v>576.9</v>
      </c>
      <c r="BD90" s="213">
        <v>580.70000000000005</v>
      </c>
      <c r="BE90" s="211">
        <v>610.9</v>
      </c>
      <c r="BF90" s="212" t="s">
        <v>252</v>
      </c>
      <c r="BG90" s="211" t="s">
        <v>61</v>
      </c>
      <c r="BH90" s="211" t="s">
        <v>252</v>
      </c>
      <c r="BI90" s="213">
        <v>539.70000000000005</v>
      </c>
      <c r="BJ90" s="213" t="s">
        <v>61</v>
      </c>
      <c r="BK90" s="211" t="s">
        <v>252</v>
      </c>
      <c r="BL90" s="213" t="s">
        <v>252</v>
      </c>
      <c r="BM90" s="213">
        <v>569.79999999999995</v>
      </c>
      <c r="BN90" s="213">
        <v>552.20000000000005</v>
      </c>
      <c r="BO90" s="211" t="s">
        <v>61</v>
      </c>
      <c r="BP90" s="211" t="s">
        <v>252</v>
      </c>
      <c r="BQ90" s="211">
        <v>561</v>
      </c>
      <c r="BR90" s="212" t="s">
        <v>61</v>
      </c>
      <c r="BS90" s="211" t="s">
        <v>252</v>
      </c>
      <c r="BT90" s="213">
        <v>567.79999999999995</v>
      </c>
      <c r="BU90" s="213">
        <v>582.5</v>
      </c>
      <c r="BV90" s="213" t="s">
        <v>252</v>
      </c>
      <c r="BW90" s="213" t="s">
        <v>252</v>
      </c>
      <c r="BX90" s="213" t="s">
        <v>252</v>
      </c>
      <c r="BY90" s="213" t="s">
        <v>61</v>
      </c>
      <c r="BZ90" s="213" t="s">
        <v>252</v>
      </c>
      <c r="CA90" s="213" t="s">
        <v>252</v>
      </c>
      <c r="CB90" s="310" t="s">
        <v>252</v>
      </c>
      <c r="CC90" s="213" t="s">
        <v>252</v>
      </c>
      <c r="CD90" s="213" t="s">
        <v>252</v>
      </c>
      <c r="CE90" s="213" t="s">
        <v>252</v>
      </c>
      <c r="CF90" s="213" t="s">
        <v>252</v>
      </c>
      <c r="CG90" s="213">
        <v>589.20000000000005</v>
      </c>
      <c r="CH90" s="213">
        <v>622.1</v>
      </c>
      <c r="CI90" s="211">
        <v>593.6</v>
      </c>
      <c r="CJ90" s="213" t="s">
        <v>252</v>
      </c>
      <c r="CK90" s="214" t="s">
        <v>252</v>
      </c>
      <c r="CL90" s="229">
        <v>585.70000000000005</v>
      </c>
    </row>
    <row r="91" spans="1:90">
      <c r="A91" s="93">
        <f>ROWS($A$3:A89)</f>
        <v>87</v>
      </c>
      <c r="B91" s="106" t="s">
        <v>207</v>
      </c>
      <c r="C91" s="243"/>
      <c r="D91" s="314" t="s">
        <v>205</v>
      </c>
      <c r="E91" s="337"/>
      <c r="F91" s="210">
        <v>34.6</v>
      </c>
      <c r="G91" s="211">
        <v>32.700000000000003</v>
      </c>
      <c r="H91" s="211">
        <v>35.4</v>
      </c>
      <c r="I91" s="214">
        <v>35.1</v>
      </c>
      <c r="J91" s="213"/>
      <c r="K91" s="210">
        <f>BF91</f>
        <v>35.200000000000003</v>
      </c>
      <c r="L91" s="211">
        <f>AY91</f>
        <v>34.1</v>
      </c>
      <c r="M91" s="211">
        <f>BD91</f>
        <v>33.6</v>
      </c>
      <c r="N91" s="211">
        <f>AW91</f>
        <v>37.1</v>
      </c>
      <c r="O91" s="211">
        <f>BE91</f>
        <v>37.700000000000003</v>
      </c>
      <c r="P91" s="211">
        <f>'2001'!BA91</f>
        <v>33.299999999999997</v>
      </c>
      <c r="Q91" s="211">
        <f>'2001'!AU91</f>
        <v>37.799999999999997</v>
      </c>
      <c r="R91" s="211">
        <f>AX91</f>
        <v>36.6</v>
      </c>
      <c r="S91" s="211">
        <f>AV91</f>
        <v>34.4</v>
      </c>
      <c r="T91" s="211">
        <f t="shared" si="214"/>
        <v>33.5</v>
      </c>
      <c r="U91" s="212">
        <f t="shared" si="214"/>
        <v>33.700000000000003</v>
      </c>
      <c r="V91" s="211">
        <f>BJ91</f>
        <v>29.9</v>
      </c>
      <c r="W91" s="211">
        <f>BR91</f>
        <v>37.5</v>
      </c>
      <c r="X91" s="211">
        <f>BI91</f>
        <v>31.6</v>
      </c>
      <c r="Y91" s="211">
        <f>BN91</f>
        <v>32.799999999999997</v>
      </c>
      <c r="Z91" s="211">
        <f>BM91</f>
        <v>31.2</v>
      </c>
      <c r="AA91" s="211">
        <f>BQ91</f>
        <v>33.9</v>
      </c>
      <c r="AB91" s="212">
        <f>BP91</f>
        <v>36.200000000000003</v>
      </c>
      <c r="AC91" s="211">
        <f>BX91</f>
        <v>36.200000000000003</v>
      </c>
      <c r="AD91" s="211" t="str">
        <f>BU91</f>
        <v>*</v>
      </c>
      <c r="AE91" s="211">
        <f>BT91</f>
        <v>30.5</v>
      </c>
      <c r="AF91" s="211">
        <f>CA91</f>
        <v>31.2</v>
      </c>
      <c r="AG91" s="211">
        <f>BV91</f>
        <v>25.4</v>
      </c>
      <c r="AH91" s="211">
        <f>BZ91</f>
        <v>32.200000000000003</v>
      </c>
      <c r="AI91" s="211">
        <f>BW91</f>
        <v>38.1</v>
      </c>
      <c r="AJ91" s="211">
        <f>BY91</f>
        <v>34.6</v>
      </c>
      <c r="AK91" s="212">
        <f>CB91</f>
        <v>37</v>
      </c>
      <c r="AL91" s="211">
        <f>CE91</f>
        <v>35.5</v>
      </c>
      <c r="AM91" s="211">
        <f>CH91</f>
        <v>37</v>
      </c>
      <c r="AN91" s="211">
        <f>CJ91</f>
        <v>36.700000000000003</v>
      </c>
      <c r="AO91" s="211">
        <f t="shared" si="215"/>
        <v>35.5</v>
      </c>
      <c r="AP91" s="211">
        <f t="shared" si="215"/>
        <v>38.799999999999997</v>
      </c>
      <c r="AQ91" s="211">
        <f>CK91</f>
        <v>36</v>
      </c>
      <c r="AR91" s="211">
        <f>CI91</f>
        <v>36.4</v>
      </c>
      <c r="AS91" s="214">
        <f>CG91</f>
        <v>37.200000000000003</v>
      </c>
      <c r="AT91" s="213" t="s">
        <v>252</v>
      </c>
      <c r="AU91" s="213">
        <v>37.799999999999997</v>
      </c>
      <c r="AV91" s="213">
        <v>34.4</v>
      </c>
      <c r="AW91" s="213">
        <v>37.1</v>
      </c>
      <c r="AX91" s="211">
        <v>36.6</v>
      </c>
      <c r="AY91" s="213">
        <v>34.1</v>
      </c>
      <c r="AZ91" s="211" t="s">
        <v>252</v>
      </c>
      <c r="BA91" s="213">
        <v>33.299999999999997</v>
      </c>
      <c r="BB91" s="213">
        <v>33.5</v>
      </c>
      <c r="BC91" s="213">
        <v>33.700000000000003</v>
      </c>
      <c r="BD91" s="213">
        <v>33.6</v>
      </c>
      <c r="BE91" s="213">
        <v>37.700000000000003</v>
      </c>
      <c r="BF91" s="212">
        <v>35.200000000000003</v>
      </c>
      <c r="BG91" s="211" t="s">
        <v>252</v>
      </c>
      <c r="BH91" s="211" t="s">
        <v>252</v>
      </c>
      <c r="BI91" s="213">
        <v>31.6</v>
      </c>
      <c r="BJ91" s="213">
        <v>29.9</v>
      </c>
      <c r="BK91" s="211" t="s">
        <v>252</v>
      </c>
      <c r="BL91" s="213" t="s">
        <v>252</v>
      </c>
      <c r="BM91" s="211">
        <v>31.2</v>
      </c>
      <c r="BN91" s="211">
        <v>32.799999999999997</v>
      </c>
      <c r="BO91" s="211" t="s">
        <v>252</v>
      </c>
      <c r="BP91" s="213">
        <v>36.200000000000003</v>
      </c>
      <c r="BQ91" s="211">
        <v>33.9</v>
      </c>
      <c r="BR91" s="212">
        <v>37.5</v>
      </c>
      <c r="BS91" s="211" t="s">
        <v>252</v>
      </c>
      <c r="BT91" s="213">
        <v>30.5</v>
      </c>
      <c r="BU91" s="211" t="s">
        <v>252</v>
      </c>
      <c r="BV91" s="213">
        <v>25.4</v>
      </c>
      <c r="BW91" s="213">
        <v>38.1</v>
      </c>
      <c r="BX91" s="213">
        <v>36.200000000000003</v>
      </c>
      <c r="BY91" s="213">
        <v>34.6</v>
      </c>
      <c r="BZ91" s="213">
        <v>32.200000000000003</v>
      </c>
      <c r="CA91" s="211">
        <v>31.2</v>
      </c>
      <c r="CB91" s="212">
        <v>37</v>
      </c>
      <c r="CC91" s="213">
        <v>35.5</v>
      </c>
      <c r="CD91" s="213">
        <v>38.799999999999997</v>
      </c>
      <c r="CE91" s="213">
        <v>35.5</v>
      </c>
      <c r="CF91" s="211">
        <v>36.5</v>
      </c>
      <c r="CG91" s="213">
        <v>37.200000000000003</v>
      </c>
      <c r="CH91" s="213">
        <v>37</v>
      </c>
      <c r="CI91" s="213">
        <v>36.4</v>
      </c>
      <c r="CJ91" s="213">
        <v>36.700000000000003</v>
      </c>
      <c r="CK91" s="214">
        <v>36</v>
      </c>
      <c r="CL91" s="229">
        <v>35.1</v>
      </c>
    </row>
    <row r="92" spans="1:90">
      <c r="A92" s="93">
        <f>ROWS($A$3:A90)</f>
        <v>88</v>
      </c>
      <c r="B92" s="106" t="s">
        <v>208</v>
      </c>
      <c r="C92" s="243"/>
      <c r="D92" s="314" t="s">
        <v>205</v>
      </c>
      <c r="E92" s="337"/>
      <c r="F92" s="210">
        <v>445.7</v>
      </c>
      <c r="G92" s="213">
        <v>429</v>
      </c>
      <c r="H92" s="213">
        <v>442.6</v>
      </c>
      <c r="I92" s="214">
        <v>445.5</v>
      </c>
      <c r="J92" s="213"/>
      <c r="K92" s="210">
        <f>BF92</f>
        <v>442.7</v>
      </c>
      <c r="L92" s="211">
        <f>AY92</f>
        <v>439.8</v>
      </c>
      <c r="M92" s="211">
        <f>BD92</f>
        <v>459.9</v>
      </c>
      <c r="N92" s="211">
        <f>AW92</f>
        <v>436.4</v>
      </c>
      <c r="O92" s="211">
        <f>BE92</f>
        <v>450.7</v>
      </c>
      <c r="P92" s="211">
        <f>'2001'!BA92</f>
        <v>448.4</v>
      </c>
      <c r="Q92" s="211">
        <f>'2001'!AU92</f>
        <v>471.3</v>
      </c>
      <c r="R92" s="211">
        <f>AX92</f>
        <v>471.6</v>
      </c>
      <c r="S92" s="211">
        <f>AV92</f>
        <v>455.4</v>
      </c>
      <c r="T92" s="211">
        <f t="shared" si="214"/>
        <v>450.4</v>
      </c>
      <c r="U92" s="212">
        <f t="shared" si="214"/>
        <v>426</v>
      </c>
      <c r="V92" s="211">
        <f>BJ92</f>
        <v>449.7</v>
      </c>
      <c r="W92" s="211">
        <f>BR92</f>
        <v>424.6</v>
      </c>
      <c r="X92" s="211">
        <f>BI92</f>
        <v>443.3</v>
      </c>
      <c r="Y92" s="211">
        <f>BN92</f>
        <v>439.6</v>
      </c>
      <c r="Z92" s="211">
        <f>BM92</f>
        <v>404.3</v>
      </c>
      <c r="AA92" s="211">
        <f>BQ92</f>
        <v>465.3</v>
      </c>
      <c r="AB92" s="212">
        <f>BP92</f>
        <v>405.2</v>
      </c>
      <c r="AC92" s="211">
        <f>BX92</f>
        <v>443.9</v>
      </c>
      <c r="AD92" s="211">
        <f>BU92</f>
        <v>434.3</v>
      </c>
      <c r="AE92" s="211">
        <f>BT92</f>
        <v>445.3</v>
      </c>
      <c r="AF92" s="211">
        <f>CA92</f>
        <v>498.5</v>
      </c>
      <c r="AG92" s="211">
        <f>BV92</f>
        <v>442.4</v>
      </c>
      <c r="AH92" s="211">
        <f>BZ92</f>
        <v>432.2</v>
      </c>
      <c r="AI92" s="211">
        <f>BW92</f>
        <v>418.6</v>
      </c>
      <c r="AJ92" s="211">
        <f>BY92</f>
        <v>430.9</v>
      </c>
      <c r="AK92" s="212">
        <f>CB92</f>
        <v>443.9</v>
      </c>
      <c r="AL92" s="211">
        <f>CE92</f>
        <v>448.7</v>
      </c>
      <c r="AM92" s="211">
        <f>CH92</f>
        <v>458.5</v>
      </c>
      <c r="AN92" s="211">
        <f>CJ92</f>
        <v>441.9</v>
      </c>
      <c r="AO92" s="211">
        <f t="shared" si="215"/>
        <v>413.7</v>
      </c>
      <c r="AP92" s="211">
        <f t="shared" si="215"/>
        <v>419.6</v>
      </c>
      <c r="AQ92" s="211">
        <f>CK92</f>
        <v>447.3</v>
      </c>
      <c r="AR92" s="211">
        <f>CI92</f>
        <v>451.1</v>
      </c>
      <c r="AS92" s="214">
        <f>CG92</f>
        <v>463.1</v>
      </c>
      <c r="AT92" s="213" t="s">
        <v>252</v>
      </c>
      <c r="AU92" s="213">
        <v>471.3</v>
      </c>
      <c r="AV92" s="213">
        <v>455.4</v>
      </c>
      <c r="AW92" s="213">
        <v>436.4</v>
      </c>
      <c r="AX92" s="213">
        <v>471.6</v>
      </c>
      <c r="AY92" s="213">
        <v>439.8</v>
      </c>
      <c r="AZ92" s="211" t="s">
        <v>252</v>
      </c>
      <c r="BA92" s="213">
        <v>448.4</v>
      </c>
      <c r="BB92" s="213">
        <v>450.4</v>
      </c>
      <c r="BC92" s="213">
        <v>426</v>
      </c>
      <c r="BD92" s="213">
        <v>459.9</v>
      </c>
      <c r="BE92" s="213">
        <v>450.7</v>
      </c>
      <c r="BF92" s="212">
        <v>442.7</v>
      </c>
      <c r="BG92" s="211" t="s">
        <v>252</v>
      </c>
      <c r="BH92" s="211" t="s">
        <v>252</v>
      </c>
      <c r="BI92" s="213">
        <v>443.3</v>
      </c>
      <c r="BJ92" s="213">
        <v>449.7</v>
      </c>
      <c r="BK92" s="211" t="s">
        <v>252</v>
      </c>
      <c r="BL92" s="213" t="s">
        <v>252</v>
      </c>
      <c r="BM92" s="213">
        <v>404.3</v>
      </c>
      <c r="BN92" s="213">
        <v>439.6</v>
      </c>
      <c r="BO92" s="211" t="s">
        <v>252</v>
      </c>
      <c r="BP92" s="213">
        <v>405.2</v>
      </c>
      <c r="BQ92" s="213">
        <v>465.3</v>
      </c>
      <c r="BR92" s="212">
        <v>424.6</v>
      </c>
      <c r="BS92" s="211" t="s">
        <v>252</v>
      </c>
      <c r="BT92" s="213">
        <v>445.3</v>
      </c>
      <c r="BU92" s="211">
        <v>434.3</v>
      </c>
      <c r="BV92" s="213">
        <v>442.4</v>
      </c>
      <c r="BW92" s="213">
        <v>418.6</v>
      </c>
      <c r="BX92" s="213">
        <v>443.9</v>
      </c>
      <c r="BY92" s="213">
        <v>430.9</v>
      </c>
      <c r="BZ92" s="213">
        <v>432.2</v>
      </c>
      <c r="CA92" s="213">
        <v>498.5</v>
      </c>
      <c r="CB92" s="212">
        <v>443.9</v>
      </c>
      <c r="CC92" s="213">
        <v>413.7</v>
      </c>
      <c r="CD92" s="213">
        <v>419.6</v>
      </c>
      <c r="CE92" s="213">
        <v>448.7</v>
      </c>
      <c r="CF92" s="211" t="s">
        <v>252</v>
      </c>
      <c r="CG92" s="213">
        <v>463.1</v>
      </c>
      <c r="CH92" s="213">
        <v>458.5</v>
      </c>
      <c r="CI92" s="213">
        <v>451.1</v>
      </c>
      <c r="CJ92" s="213">
        <v>441.9</v>
      </c>
      <c r="CK92" s="214">
        <v>447.3</v>
      </c>
      <c r="CL92" s="229">
        <v>445.5</v>
      </c>
    </row>
    <row r="93" spans="1:90">
      <c r="A93" s="93">
        <f>ROWS($A$3:A91)</f>
        <v>89</v>
      </c>
      <c r="B93" s="237" t="s">
        <v>105</v>
      </c>
      <c r="C93" s="309">
        <v>2001</v>
      </c>
      <c r="D93" s="335" t="s">
        <v>4</v>
      </c>
      <c r="E93" s="336"/>
      <c r="F93" s="156">
        <v>62.1</v>
      </c>
      <c r="G93" s="177">
        <v>41.3</v>
      </c>
      <c r="H93" s="177">
        <v>71.8</v>
      </c>
      <c r="I93" s="178">
        <v>57.1</v>
      </c>
      <c r="J93" s="181"/>
      <c r="K93" s="156">
        <f>BF93</f>
        <v>96.1</v>
      </c>
      <c r="L93" s="177">
        <f>AY93</f>
        <v>69.599999999999994</v>
      </c>
      <c r="M93" s="177">
        <f>BD93</f>
        <v>69.400000000000006</v>
      </c>
      <c r="N93" s="177">
        <f>AW93</f>
        <v>73.8</v>
      </c>
      <c r="O93" s="177">
        <f>BE93</f>
        <v>55.2</v>
      </c>
      <c r="P93" s="183">
        <f>(AZ35*AZ93+BA35*BA93)/P35</f>
        <v>9.2381446404069472</v>
      </c>
      <c r="Q93" s="177">
        <f>'2001'!AU93</f>
        <v>52</v>
      </c>
      <c r="R93" s="183">
        <f>(AT35*AT93+AX35*AX93)/R35</f>
        <v>0.74456304202801871</v>
      </c>
      <c r="S93" s="177">
        <f>AV93</f>
        <v>61.8</v>
      </c>
      <c r="T93" s="177">
        <f t="shared" si="214"/>
        <v>57</v>
      </c>
      <c r="U93" s="179">
        <f t="shared" si="214"/>
        <v>93.9</v>
      </c>
      <c r="V93" s="183">
        <f>(BG35*BG93+BJ35*BJ93)/V35</f>
        <v>22.321993670886076</v>
      </c>
      <c r="W93" s="177">
        <f>BR93</f>
        <v>85.9</v>
      </c>
      <c r="X93" s="183">
        <f>(BH35*BH93+BI35*BI93)/X35</f>
        <v>4.957810955111726</v>
      </c>
      <c r="Y93" s="183">
        <f>(BK35*BK93+BL35*BL93+BN35*BN93)/Y35</f>
        <v>9.0331577500916076</v>
      </c>
      <c r="Z93" s="177">
        <f>BM93</f>
        <v>67.599999999999994</v>
      </c>
      <c r="AA93" s="183">
        <f>(BO35*BO93+BQ35*BQ93)/AA35</f>
        <v>39.920586363858845</v>
      </c>
      <c r="AB93" s="179">
        <f>BP93</f>
        <v>77</v>
      </c>
      <c r="AC93" s="177">
        <f>BX93</f>
        <v>100</v>
      </c>
      <c r="AD93" s="177">
        <f>BU93</f>
        <v>48.4</v>
      </c>
      <c r="AE93" s="183">
        <f>(BS35*BS93+BT35*BT93)/AE35</f>
        <v>46.844407576138039</v>
      </c>
      <c r="AF93" s="177">
        <f>CA93</f>
        <v>60.4</v>
      </c>
      <c r="AG93" s="177">
        <f>BV93</f>
        <v>45.6</v>
      </c>
      <c r="AH93" s="177">
        <f>BZ93</f>
        <v>62.1</v>
      </c>
      <c r="AI93" s="177">
        <f>BW93</f>
        <v>100</v>
      </c>
      <c r="AJ93" s="177">
        <f>BY93</f>
        <v>100</v>
      </c>
      <c r="AK93" s="179">
        <f>CB93</f>
        <v>99.7</v>
      </c>
      <c r="AL93" s="177">
        <f>CE93</f>
        <v>99.5</v>
      </c>
      <c r="AM93" s="177">
        <f>CH93</f>
        <v>21.4</v>
      </c>
      <c r="AN93" s="177">
        <f>CJ93</f>
        <v>61.4</v>
      </c>
      <c r="AO93" s="177">
        <f t="shared" si="215"/>
        <v>97.8</v>
      </c>
      <c r="AP93" s="177">
        <f t="shared" si="215"/>
        <v>54.7</v>
      </c>
      <c r="AQ93" s="177">
        <f>CK93</f>
        <v>76.5</v>
      </c>
      <c r="AR93" s="177">
        <f>CI93</f>
        <v>29.5</v>
      </c>
      <c r="AS93" s="184">
        <f>(CF35*CF93+CG35*CG93)/AS35</f>
        <v>44.295503459824182</v>
      </c>
      <c r="AT93" s="181">
        <v>0</v>
      </c>
      <c r="AU93" s="181">
        <v>52</v>
      </c>
      <c r="AV93" s="181">
        <v>61.8</v>
      </c>
      <c r="AW93" s="181">
        <v>73.8</v>
      </c>
      <c r="AX93" s="177">
        <v>0.8</v>
      </c>
      <c r="AY93" s="177">
        <v>69.599999999999994</v>
      </c>
      <c r="AZ93" s="177">
        <v>0</v>
      </c>
      <c r="BA93" s="177">
        <v>10</v>
      </c>
      <c r="BB93" s="177">
        <v>57</v>
      </c>
      <c r="BC93" s="177">
        <v>93.9</v>
      </c>
      <c r="BD93" s="177">
        <v>69.400000000000006</v>
      </c>
      <c r="BE93" s="177">
        <v>55.2</v>
      </c>
      <c r="BF93" s="179">
        <v>96.1</v>
      </c>
      <c r="BG93" s="177">
        <v>0</v>
      </c>
      <c r="BH93" s="177">
        <v>0</v>
      </c>
      <c r="BI93" s="177">
        <v>5.3</v>
      </c>
      <c r="BJ93" s="177">
        <v>24.7</v>
      </c>
      <c r="BK93" s="177">
        <v>0</v>
      </c>
      <c r="BL93" s="177">
        <v>0</v>
      </c>
      <c r="BM93" s="177">
        <v>67.599999999999994</v>
      </c>
      <c r="BN93" s="177">
        <v>10.199999999999999</v>
      </c>
      <c r="BO93" s="177">
        <v>0</v>
      </c>
      <c r="BP93" s="177">
        <v>77</v>
      </c>
      <c r="BQ93" s="177">
        <v>42.5</v>
      </c>
      <c r="BR93" s="179">
        <v>85.9</v>
      </c>
      <c r="BS93" s="177">
        <v>0</v>
      </c>
      <c r="BT93" s="177">
        <v>50.1</v>
      </c>
      <c r="BU93" s="177">
        <v>48.4</v>
      </c>
      <c r="BV93" s="177">
        <v>45.6</v>
      </c>
      <c r="BW93" s="177">
        <v>100</v>
      </c>
      <c r="BX93" s="177">
        <v>100</v>
      </c>
      <c r="BY93" s="177">
        <v>100</v>
      </c>
      <c r="BZ93" s="177">
        <v>62.1</v>
      </c>
      <c r="CA93" s="177">
        <v>60.4</v>
      </c>
      <c r="CB93" s="179">
        <v>99.7</v>
      </c>
      <c r="CC93" s="177">
        <v>97.8</v>
      </c>
      <c r="CD93" s="177">
        <v>54.7</v>
      </c>
      <c r="CE93" s="177">
        <v>99.5</v>
      </c>
      <c r="CF93" s="177">
        <v>0</v>
      </c>
      <c r="CG93" s="177">
        <v>47.1</v>
      </c>
      <c r="CH93" s="177">
        <v>21.4</v>
      </c>
      <c r="CI93" s="177">
        <v>29.5</v>
      </c>
      <c r="CJ93" s="177">
        <v>61.4</v>
      </c>
      <c r="CK93" s="178">
        <v>76.5</v>
      </c>
      <c r="CL93" s="180">
        <v>60.1</v>
      </c>
    </row>
    <row r="94" spans="1:90">
      <c r="A94" s="93">
        <f>ROWS($A$3:A92)</f>
        <v>90</v>
      </c>
      <c r="B94" s="67" t="s">
        <v>266</v>
      </c>
      <c r="C94" s="243"/>
      <c r="D94" s="314"/>
      <c r="E94" s="337"/>
      <c r="F94" s="156"/>
      <c r="G94" s="177"/>
      <c r="H94" s="177"/>
      <c r="I94" s="178"/>
      <c r="J94" s="181"/>
      <c r="K94" s="156">
        <f t="shared" ref="K94:AS94" si="216">$C$95</f>
        <v>2001</v>
      </c>
      <c r="L94" s="177">
        <f t="shared" si="216"/>
        <v>2001</v>
      </c>
      <c r="M94" s="177">
        <f t="shared" si="216"/>
        <v>2001</v>
      </c>
      <c r="N94" s="177">
        <f t="shared" si="216"/>
        <v>2001</v>
      </c>
      <c r="O94" s="177">
        <f t="shared" si="216"/>
        <v>2001</v>
      </c>
      <c r="P94" s="177">
        <f t="shared" si="216"/>
        <v>2001</v>
      </c>
      <c r="Q94" s="177">
        <f t="shared" si="216"/>
        <v>2001</v>
      </c>
      <c r="R94" s="177">
        <f t="shared" si="216"/>
        <v>2001</v>
      </c>
      <c r="S94" s="177">
        <f t="shared" si="216"/>
        <v>2001</v>
      </c>
      <c r="T94" s="177">
        <f t="shared" si="216"/>
        <v>2001</v>
      </c>
      <c r="U94" s="179">
        <f t="shared" si="216"/>
        <v>2001</v>
      </c>
      <c r="V94" s="177">
        <f t="shared" si="216"/>
        <v>2001</v>
      </c>
      <c r="W94" s="177">
        <f t="shared" si="216"/>
        <v>2001</v>
      </c>
      <c r="X94" s="177">
        <f t="shared" si="216"/>
        <v>2001</v>
      </c>
      <c r="Y94" s="177">
        <f t="shared" si="216"/>
        <v>2001</v>
      </c>
      <c r="Z94" s="177">
        <f t="shared" si="216"/>
        <v>2001</v>
      </c>
      <c r="AA94" s="177">
        <f t="shared" si="216"/>
        <v>2001</v>
      </c>
      <c r="AB94" s="179">
        <f t="shared" si="216"/>
        <v>2001</v>
      </c>
      <c r="AC94" s="177">
        <f t="shared" si="216"/>
        <v>2001</v>
      </c>
      <c r="AD94" s="177">
        <f t="shared" si="216"/>
        <v>2001</v>
      </c>
      <c r="AE94" s="177">
        <f t="shared" si="216"/>
        <v>2001</v>
      </c>
      <c r="AF94" s="177">
        <f t="shared" si="216"/>
        <v>2001</v>
      </c>
      <c r="AG94" s="177">
        <f t="shared" si="216"/>
        <v>2001</v>
      </c>
      <c r="AH94" s="177">
        <f t="shared" si="216"/>
        <v>2001</v>
      </c>
      <c r="AI94" s="177">
        <f t="shared" si="216"/>
        <v>2001</v>
      </c>
      <c r="AJ94" s="177">
        <f t="shared" si="216"/>
        <v>2001</v>
      </c>
      <c r="AK94" s="179">
        <f t="shared" si="216"/>
        <v>2001</v>
      </c>
      <c r="AL94" s="177">
        <f t="shared" si="216"/>
        <v>2001</v>
      </c>
      <c r="AM94" s="177">
        <f t="shared" si="216"/>
        <v>2001</v>
      </c>
      <c r="AN94" s="177">
        <f t="shared" si="216"/>
        <v>2001</v>
      </c>
      <c r="AO94" s="177">
        <f t="shared" si="216"/>
        <v>2001</v>
      </c>
      <c r="AP94" s="177">
        <f t="shared" si="216"/>
        <v>2001</v>
      </c>
      <c r="AQ94" s="177">
        <f t="shared" si="216"/>
        <v>2001</v>
      </c>
      <c r="AR94" s="177">
        <f t="shared" si="216"/>
        <v>2001</v>
      </c>
      <c r="AS94" s="178">
        <f t="shared" si="216"/>
        <v>2001</v>
      </c>
      <c r="AT94" s="177"/>
      <c r="AU94" s="177"/>
      <c r="AV94" s="177"/>
      <c r="AW94" s="177"/>
      <c r="AX94" s="177"/>
      <c r="AY94" s="177"/>
      <c r="AZ94" s="177"/>
      <c r="BA94" s="177"/>
      <c r="BB94" s="177"/>
      <c r="BC94" s="177"/>
      <c r="BD94" s="177"/>
      <c r="BE94" s="177"/>
      <c r="BF94" s="179"/>
      <c r="BG94" s="177"/>
      <c r="BH94" s="177"/>
      <c r="BI94" s="177"/>
      <c r="BJ94" s="177"/>
      <c r="BK94" s="177"/>
      <c r="BL94" s="177"/>
      <c r="BM94" s="177"/>
      <c r="BN94" s="177"/>
      <c r="BO94" s="177"/>
      <c r="BP94" s="177"/>
      <c r="BQ94" s="177"/>
      <c r="BR94" s="179"/>
      <c r="BS94" s="177"/>
      <c r="BT94" s="177"/>
      <c r="BU94" s="177"/>
      <c r="BV94" s="177"/>
      <c r="BW94" s="177"/>
      <c r="BX94" s="177"/>
      <c r="BY94" s="177"/>
      <c r="BZ94" s="177"/>
      <c r="CA94" s="177"/>
      <c r="CB94" s="179"/>
      <c r="CC94" s="177"/>
      <c r="CD94" s="177"/>
      <c r="CE94" s="177"/>
      <c r="CF94" s="177"/>
      <c r="CG94" s="177"/>
      <c r="CH94" s="177"/>
      <c r="CI94" s="177"/>
      <c r="CJ94" s="177"/>
      <c r="CK94" s="178"/>
      <c r="CL94" s="180"/>
    </row>
    <row r="95" spans="1:90">
      <c r="A95" s="93">
        <f>ROWS($A$3:A93)</f>
        <v>91</v>
      </c>
      <c r="B95" s="106" t="s">
        <v>82</v>
      </c>
      <c r="C95" s="242">
        <v>2001</v>
      </c>
      <c r="D95" s="314" t="s">
        <v>14</v>
      </c>
      <c r="E95" s="316"/>
      <c r="F95" s="156">
        <v>122737</v>
      </c>
      <c r="G95" s="177">
        <v>30239</v>
      </c>
      <c r="H95" s="177">
        <v>82089</v>
      </c>
      <c r="I95" s="178">
        <v>186831</v>
      </c>
      <c r="J95" s="181"/>
      <c r="K95" s="156">
        <f>BF95</f>
        <v>29042</v>
      </c>
      <c r="L95" s="177">
        <f>AY95</f>
        <v>8671</v>
      </c>
      <c r="M95" s="177">
        <f>BD95</f>
        <v>9647</v>
      </c>
      <c r="N95" s="177">
        <f>AW95</f>
        <v>12155</v>
      </c>
      <c r="O95" s="177">
        <f>BE95</f>
        <v>8882</v>
      </c>
      <c r="P95" s="177">
        <f>AZ95+BA95</f>
        <v>6730</v>
      </c>
      <c r="Q95" s="177">
        <f>'2001'!AU95</f>
        <v>3596</v>
      </c>
      <c r="R95" s="177">
        <f>AX95</f>
        <v>5871</v>
      </c>
      <c r="S95" s="177">
        <f>AV95</f>
        <v>3597</v>
      </c>
      <c r="T95" s="177">
        <f t="shared" ref="T95:U99" si="217">BB95</f>
        <v>9048</v>
      </c>
      <c r="U95" s="179">
        <f t="shared" si="217"/>
        <v>25010</v>
      </c>
      <c r="V95" s="177">
        <f>BJ95</f>
        <v>733</v>
      </c>
      <c r="W95" s="177">
        <f>BR95</f>
        <v>4744</v>
      </c>
      <c r="X95" s="177">
        <f>BH95+BI95</f>
        <v>2102</v>
      </c>
      <c r="Y95" s="177">
        <f>BK95+BL95+BN95</f>
        <v>5175</v>
      </c>
      <c r="Z95" s="177">
        <f>BM95</f>
        <v>9713</v>
      </c>
      <c r="AA95" s="177">
        <f>BO95+BQ95</f>
        <v>3302</v>
      </c>
      <c r="AB95" s="179">
        <f>BP95</f>
        <v>4470</v>
      </c>
      <c r="AC95" s="177">
        <f>BX95</f>
        <v>13714</v>
      </c>
      <c r="AD95" s="177">
        <f>BU95</f>
        <v>4577</v>
      </c>
      <c r="AE95" s="177">
        <f>BT95</f>
        <v>12575</v>
      </c>
      <c r="AF95" s="177">
        <f>CA95</f>
        <v>5079</v>
      </c>
      <c r="AG95" s="177">
        <f>BV95</f>
        <v>11376</v>
      </c>
      <c r="AH95" s="177">
        <f>BZ95</f>
        <v>10288</v>
      </c>
      <c r="AI95" s="177">
        <f>BW95</f>
        <v>6966</v>
      </c>
      <c r="AJ95" s="177">
        <f>BY95</f>
        <v>5669</v>
      </c>
      <c r="AK95" s="179">
        <f>CB95</f>
        <v>11846</v>
      </c>
      <c r="AL95" s="177">
        <f>CE95</f>
        <v>3682</v>
      </c>
      <c r="AM95" s="177">
        <f>CH95</f>
        <v>40047</v>
      </c>
      <c r="AN95" s="177">
        <f>CJ95</f>
        <v>77867</v>
      </c>
      <c r="AO95" s="177">
        <f t="shared" ref="AO95:AP99" si="218">CC95</f>
        <v>10463</v>
      </c>
      <c r="AP95" s="177">
        <f t="shared" si="218"/>
        <v>2188</v>
      </c>
      <c r="AQ95" s="177">
        <f>CK95</f>
        <v>16050</v>
      </c>
      <c r="AR95" s="177">
        <f>CI95</f>
        <v>13238</v>
      </c>
      <c r="AS95" s="178">
        <f>CF95+CG95</f>
        <v>23297</v>
      </c>
      <c r="AT95" s="181">
        <v>488</v>
      </c>
      <c r="AU95" s="181">
        <v>3596</v>
      </c>
      <c r="AV95" s="181">
        <v>3597</v>
      </c>
      <c r="AW95" s="181">
        <v>12155</v>
      </c>
      <c r="AX95" s="177">
        <v>5871</v>
      </c>
      <c r="AY95" s="177">
        <v>8671</v>
      </c>
      <c r="AZ95" s="177">
        <v>266</v>
      </c>
      <c r="BA95" s="177">
        <v>6464</v>
      </c>
      <c r="BB95" s="177">
        <v>9048</v>
      </c>
      <c r="BC95" s="177">
        <v>25010</v>
      </c>
      <c r="BD95" s="177">
        <v>9647</v>
      </c>
      <c r="BE95" s="177">
        <v>8882</v>
      </c>
      <c r="BF95" s="179">
        <v>29042</v>
      </c>
      <c r="BG95" s="177" t="s">
        <v>61</v>
      </c>
      <c r="BH95" s="177">
        <v>113</v>
      </c>
      <c r="BI95" s="177">
        <v>1989</v>
      </c>
      <c r="BJ95" s="177">
        <v>733</v>
      </c>
      <c r="BK95" s="177">
        <v>256</v>
      </c>
      <c r="BL95" s="177">
        <v>39</v>
      </c>
      <c r="BM95" s="177">
        <v>9713</v>
      </c>
      <c r="BN95" s="177">
        <v>4880</v>
      </c>
      <c r="BO95" s="177">
        <v>113</v>
      </c>
      <c r="BP95" s="177">
        <v>4470</v>
      </c>
      <c r="BQ95" s="177">
        <v>3189</v>
      </c>
      <c r="BR95" s="179">
        <v>4744</v>
      </c>
      <c r="BS95" s="177" t="s">
        <v>61</v>
      </c>
      <c r="BT95" s="177">
        <v>12575</v>
      </c>
      <c r="BU95" s="177">
        <v>4577</v>
      </c>
      <c r="BV95" s="177">
        <v>11376</v>
      </c>
      <c r="BW95" s="177">
        <v>6966</v>
      </c>
      <c r="BX95" s="177">
        <v>13714</v>
      </c>
      <c r="BY95" s="177">
        <v>5669</v>
      </c>
      <c r="BZ95" s="177">
        <v>10288</v>
      </c>
      <c r="CA95" s="177">
        <v>5079</v>
      </c>
      <c r="CB95" s="179">
        <v>11846</v>
      </c>
      <c r="CC95" s="177">
        <v>10463</v>
      </c>
      <c r="CD95" s="177">
        <v>2188</v>
      </c>
      <c r="CE95" s="177">
        <v>3682</v>
      </c>
      <c r="CF95" s="177">
        <v>1002</v>
      </c>
      <c r="CG95" s="177">
        <v>22295</v>
      </c>
      <c r="CH95" s="177">
        <v>40047</v>
      </c>
      <c r="CI95" s="177">
        <v>13238</v>
      </c>
      <c r="CJ95" s="177">
        <v>77867</v>
      </c>
      <c r="CK95" s="178">
        <v>16050</v>
      </c>
      <c r="CL95" s="180">
        <v>421896</v>
      </c>
    </row>
    <row r="96" spans="1:90">
      <c r="A96" s="93">
        <f>ROWS($A$3:A94)</f>
        <v>92</v>
      </c>
      <c r="B96" s="106" t="s">
        <v>106</v>
      </c>
      <c r="C96" s="243">
        <f>C95</f>
        <v>2001</v>
      </c>
      <c r="D96" s="314" t="s">
        <v>11</v>
      </c>
      <c r="E96" s="316"/>
      <c r="F96" s="156">
        <v>664795</v>
      </c>
      <c r="G96" s="177">
        <v>156949</v>
      </c>
      <c r="H96" s="177">
        <v>397121</v>
      </c>
      <c r="I96" s="178">
        <v>1062659</v>
      </c>
      <c r="J96" s="181"/>
      <c r="K96" s="156">
        <f>BF96</f>
        <v>161530</v>
      </c>
      <c r="L96" s="177">
        <f>AY96</f>
        <v>46114</v>
      </c>
      <c r="M96" s="177">
        <f>BD96</f>
        <v>49632</v>
      </c>
      <c r="N96" s="177">
        <f>AW96</f>
        <v>62116</v>
      </c>
      <c r="O96" s="177">
        <f>BE96</f>
        <v>45338</v>
      </c>
      <c r="P96" s="177">
        <f>AZ96+BA96</f>
        <v>36867</v>
      </c>
      <c r="Q96" s="177">
        <f>'2001'!AU96</f>
        <v>19783</v>
      </c>
      <c r="R96" s="177">
        <f>AX96</f>
        <v>31703</v>
      </c>
      <c r="S96" s="177">
        <f>AV96</f>
        <v>15934</v>
      </c>
      <c r="T96" s="177">
        <f t="shared" si="217"/>
        <v>48417</v>
      </c>
      <c r="U96" s="179">
        <f t="shared" si="217"/>
        <v>145036</v>
      </c>
      <c r="V96" s="177">
        <f>BJ96</f>
        <v>3011</v>
      </c>
      <c r="W96" s="177">
        <f>BR96</f>
        <v>23335</v>
      </c>
      <c r="X96" s="177">
        <f>BH96+BI96</f>
        <v>9370</v>
      </c>
      <c r="Y96" s="177">
        <f>BK96+BL96+BN96</f>
        <v>27236</v>
      </c>
      <c r="Z96" s="177">
        <f>BM96</f>
        <v>54272</v>
      </c>
      <c r="AA96" s="177">
        <f>BO96+BQ96</f>
        <v>17061</v>
      </c>
      <c r="AB96" s="179">
        <f>BP96</f>
        <v>22664</v>
      </c>
      <c r="AC96" s="177">
        <f>BX96</f>
        <v>66784</v>
      </c>
      <c r="AD96" s="177">
        <f>BU96</f>
        <v>21224</v>
      </c>
      <c r="AE96" s="177">
        <f>BT96</f>
        <v>59899</v>
      </c>
      <c r="AF96" s="177">
        <f>CA96</f>
        <v>21976</v>
      </c>
      <c r="AG96" s="177">
        <f>BV96</f>
        <v>48870</v>
      </c>
      <c r="AH96" s="177">
        <f>BZ96</f>
        <v>57217</v>
      </c>
      <c r="AI96" s="177">
        <f>BW96</f>
        <v>32064</v>
      </c>
      <c r="AJ96" s="177">
        <f>BY96</f>
        <v>30588</v>
      </c>
      <c r="AK96" s="179">
        <f>CB96</f>
        <v>58499</v>
      </c>
      <c r="AL96" s="177">
        <f>CE96</f>
        <v>20089</v>
      </c>
      <c r="AM96" s="177">
        <f>CH96</f>
        <v>231386</v>
      </c>
      <c r="AN96" s="177">
        <f>CJ96</f>
        <v>459350</v>
      </c>
      <c r="AO96" s="177">
        <f t="shared" si="218"/>
        <v>55082</v>
      </c>
      <c r="AP96" s="177">
        <f t="shared" si="218"/>
        <v>10088</v>
      </c>
      <c r="AQ96" s="177">
        <f>CK96</f>
        <v>84860</v>
      </c>
      <c r="AR96" s="177">
        <f>CI96</f>
        <v>75394</v>
      </c>
      <c r="AS96" s="178">
        <f>CF96+CG96</f>
        <v>126410</v>
      </c>
      <c r="AT96" s="181">
        <v>2325</v>
      </c>
      <c r="AU96" s="181">
        <v>19783</v>
      </c>
      <c r="AV96" s="181">
        <v>15934</v>
      </c>
      <c r="AW96" s="181">
        <v>62116</v>
      </c>
      <c r="AX96" s="177">
        <v>31703</v>
      </c>
      <c r="AY96" s="177">
        <v>46114</v>
      </c>
      <c r="AZ96" s="177">
        <v>937</v>
      </c>
      <c r="BA96" s="177">
        <v>35930</v>
      </c>
      <c r="BB96" s="177">
        <v>48417</v>
      </c>
      <c r="BC96" s="177">
        <v>145036</v>
      </c>
      <c r="BD96" s="177">
        <v>49632</v>
      </c>
      <c r="BE96" s="177">
        <v>45338</v>
      </c>
      <c r="BF96" s="179">
        <v>161530</v>
      </c>
      <c r="BG96" s="177" t="s">
        <v>252</v>
      </c>
      <c r="BH96" s="177">
        <v>531</v>
      </c>
      <c r="BI96" s="177">
        <v>8839</v>
      </c>
      <c r="BJ96" s="177">
        <v>3011</v>
      </c>
      <c r="BK96" s="177">
        <v>1727</v>
      </c>
      <c r="BL96" s="177">
        <v>174</v>
      </c>
      <c r="BM96" s="177">
        <v>54272</v>
      </c>
      <c r="BN96" s="177">
        <v>25335</v>
      </c>
      <c r="BO96" s="177">
        <v>508</v>
      </c>
      <c r="BP96" s="177">
        <v>22664</v>
      </c>
      <c r="BQ96" s="177">
        <v>16553</v>
      </c>
      <c r="BR96" s="179">
        <v>23335</v>
      </c>
      <c r="BS96" s="177" t="s">
        <v>252</v>
      </c>
      <c r="BT96" s="177">
        <v>59899</v>
      </c>
      <c r="BU96" s="177">
        <v>21224</v>
      </c>
      <c r="BV96" s="177">
        <v>48870</v>
      </c>
      <c r="BW96" s="177">
        <v>32064</v>
      </c>
      <c r="BX96" s="177">
        <v>66784</v>
      </c>
      <c r="BY96" s="177">
        <v>30588</v>
      </c>
      <c r="BZ96" s="177">
        <v>57217</v>
      </c>
      <c r="CA96" s="177">
        <v>21976</v>
      </c>
      <c r="CB96" s="179">
        <v>58499</v>
      </c>
      <c r="CC96" s="177">
        <v>55082</v>
      </c>
      <c r="CD96" s="177">
        <v>10088</v>
      </c>
      <c r="CE96" s="177">
        <v>20089</v>
      </c>
      <c r="CF96" s="177">
        <v>6447</v>
      </c>
      <c r="CG96" s="177">
        <v>119963</v>
      </c>
      <c r="CH96" s="177">
        <v>231386</v>
      </c>
      <c r="CI96" s="177">
        <v>75394</v>
      </c>
      <c r="CJ96" s="177">
        <v>459350</v>
      </c>
      <c r="CK96" s="178">
        <v>84860</v>
      </c>
      <c r="CL96" s="180">
        <v>2281524</v>
      </c>
    </row>
    <row r="97" spans="1:90">
      <c r="A97" s="93">
        <f>ROWS($A$3:A95)</f>
        <v>93</v>
      </c>
      <c r="B97" s="106" t="s">
        <v>107</v>
      </c>
      <c r="C97" s="238">
        <f>C95</f>
        <v>2001</v>
      </c>
      <c r="D97" s="314" t="s">
        <v>11</v>
      </c>
      <c r="E97" s="316"/>
      <c r="F97" s="156">
        <v>618865</v>
      </c>
      <c r="G97" s="177">
        <v>149025</v>
      </c>
      <c r="H97" s="177">
        <v>366598</v>
      </c>
      <c r="I97" s="178">
        <v>1009287</v>
      </c>
      <c r="J97" s="181"/>
      <c r="K97" s="156">
        <f>BF97</f>
        <v>150712</v>
      </c>
      <c r="L97" s="177">
        <f>AY97</f>
        <v>42810</v>
      </c>
      <c r="M97" s="177">
        <f>BD97</f>
        <v>45971</v>
      </c>
      <c r="N97" s="177">
        <f>AW97</f>
        <v>57752</v>
      </c>
      <c r="O97" s="177">
        <f>BE97</f>
        <v>42099</v>
      </c>
      <c r="P97" s="177">
        <f>AZ97+BA97</f>
        <v>34324</v>
      </c>
      <c r="Q97" s="177">
        <f>'2001'!AU97</f>
        <v>18437</v>
      </c>
      <c r="R97" s="177">
        <f>AX97</f>
        <v>29537</v>
      </c>
      <c r="S97" s="177">
        <f>AV97</f>
        <v>14642</v>
      </c>
      <c r="T97" s="177">
        <f t="shared" si="217"/>
        <v>45007</v>
      </c>
      <c r="U97" s="179">
        <f t="shared" si="217"/>
        <v>135411</v>
      </c>
      <c r="V97" s="177">
        <f>BJ97</f>
        <v>2815</v>
      </c>
      <c r="W97" s="177">
        <f>BR97</f>
        <v>22064</v>
      </c>
      <c r="X97" s="177">
        <f>BH97+BI97</f>
        <v>8816</v>
      </c>
      <c r="Y97" s="177">
        <f>BK97+BL97+BN97</f>
        <v>25904</v>
      </c>
      <c r="Z97" s="177">
        <f>BM97</f>
        <v>51750</v>
      </c>
      <c r="AA97" s="177">
        <f>BO97+BQ97</f>
        <v>16216</v>
      </c>
      <c r="AB97" s="179">
        <f>BP97</f>
        <v>21460</v>
      </c>
      <c r="AC97" s="177">
        <f>BX97</f>
        <v>61788</v>
      </c>
      <c r="AD97" s="177">
        <f>BU97</f>
        <v>19448</v>
      </c>
      <c r="AE97" s="177">
        <f>BT97</f>
        <v>55233</v>
      </c>
      <c r="AF97" s="177">
        <f>CA97</f>
        <v>19955</v>
      </c>
      <c r="AG97" s="177">
        <f>BV97</f>
        <v>44544</v>
      </c>
      <c r="AH97" s="177">
        <f>BZ97</f>
        <v>53603</v>
      </c>
      <c r="AI97" s="177">
        <f>BW97</f>
        <v>29404</v>
      </c>
      <c r="AJ97" s="177">
        <f>BY97</f>
        <v>28518</v>
      </c>
      <c r="AK97" s="179">
        <f>CB97</f>
        <v>54105</v>
      </c>
      <c r="AL97" s="177">
        <f>CE97</f>
        <v>19008</v>
      </c>
      <c r="AM97" s="177">
        <f>CH97</f>
        <v>219991</v>
      </c>
      <c r="AN97" s="177">
        <f>CJ97</f>
        <v>437632</v>
      </c>
      <c r="AO97" s="177">
        <f t="shared" si="218"/>
        <v>51966</v>
      </c>
      <c r="AP97" s="177">
        <f t="shared" si="218"/>
        <v>9443</v>
      </c>
      <c r="AQ97" s="177">
        <f>CK97</f>
        <v>80123</v>
      </c>
      <c r="AR97" s="177">
        <f>CI97</f>
        <v>71575</v>
      </c>
      <c r="AS97" s="178">
        <f>CF97+CG97</f>
        <v>119549</v>
      </c>
      <c r="AT97" s="181">
        <v>2163</v>
      </c>
      <c r="AU97" s="181">
        <v>18437</v>
      </c>
      <c r="AV97" s="181">
        <v>14642</v>
      </c>
      <c r="AW97" s="181">
        <v>57752</v>
      </c>
      <c r="AX97" s="177">
        <v>29537</v>
      </c>
      <c r="AY97" s="177">
        <v>42810</v>
      </c>
      <c r="AZ97" s="177">
        <v>832</v>
      </c>
      <c r="BA97" s="177">
        <v>33492</v>
      </c>
      <c r="BB97" s="177">
        <v>45007</v>
      </c>
      <c r="BC97" s="177">
        <v>135411</v>
      </c>
      <c r="BD97" s="177">
        <v>45971</v>
      </c>
      <c r="BE97" s="177">
        <v>42099</v>
      </c>
      <c r="BF97" s="179">
        <v>150712</v>
      </c>
      <c r="BG97" s="181" t="s">
        <v>252</v>
      </c>
      <c r="BH97" s="177">
        <v>500</v>
      </c>
      <c r="BI97" s="177">
        <v>8316</v>
      </c>
      <c r="BJ97" s="177">
        <v>2815</v>
      </c>
      <c r="BK97" s="177">
        <v>1657</v>
      </c>
      <c r="BL97" s="177">
        <v>163</v>
      </c>
      <c r="BM97" s="177">
        <v>51750</v>
      </c>
      <c r="BN97" s="177">
        <v>24084</v>
      </c>
      <c r="BO97" s="177">
        <v>477</v>
      </c>
      <c r="BP97" s="177">
        <v>21460</v>
      </c>
      <c r="BQ97" s="177">
        <v>15739</v>
      </c>
      <c r="BR97" s="179">
        <v>22064</v>
      </c>
      <c r="BS97" s="177" t="s">
        <v>252</v>
      </c>
      <c r="BT97" s="177">
        <v>55233</v>
      </c>
      <c r="BU97" s="177">
        <v>19448</v>
      </c>
      <c r="BV97" s="177">
        <v>44544</v>
      </c>
      <c r="BW97" s="177">
        <v>29404</v>
      </c>
      <c r="BX97" s="177">
        <v>61788</v>
      </c>
      <c r="BY97" s="177">
        <v>28518</v>
      </c>
      <c r="BZ97" s="177">
        <v>53603</v>
      </c>
      <c r="CA97" s="177">
        <v>19955</v>
      </c>
      <c r="CB97" s="179">
        <v>54105</v>
      </c>
      <c r="CC97" s="177">
        <v>51966</v>
      </c>
      <c r="CD97" s="177">
        <v>9443</v>
      </c>
      <c r="CE97" s="177">
        <v>19008</v>
      </c>
      <c r="CF97" s="177">
        <v>6155</v>
      </c>
      <c r="CG97" s="177">
        <v>113394</v>
      </c>
      <c r="CH97" s="177">
        <v>219991</v>
      </c>
      <c r="CI97" s="177">
        <v>71575</v>
      </c>
      <c r="CJ97" s="177">
        <v>437632</v>
      </c>
      <c r="CK97" s="178">
        <v>80123</v>
      </c>
      <c r="CL97" s="180">
        <v>2143775</v>
      </c>
    </row>
    <row r="98" spans="1:90">
      <c r="A98" s="93">
        <f>ROWS($A$3:A96)</f>
        <v>94</v>
      </c>
      <c r="B98" s="63" t="s">
        <v>82</v>
      </c>
      <c r="C98" s="242">
        <v>1991</v>
      </c>
      <c r="D98" s="314" t="s">
        <v>14</v>
      </c>
      <c r="E98" s="316"/>
      <c r="F98" s="194">
        <v>172068</v>
      </c>
      <c r="G98" s="195">
        <v>44734</v>
      </c>
      <c r="H98" s="195">
        <v>118717</v>
      </c>
      <c r="I98" s="196">
        <v>240399</v>
      </c>
      <c r="J98" s="348"/>
      <c r="K98" s="197">
        <f>BF98</f>
        <v>38616</v>
      </c>
      <c r="L98" s="147">
        <f>AY98</f>
        <v>12459</v>
      </c>
      <c r="M98" s="147">
        <f>BD98</f>
        <v>14308</v>
      </c>
      <c r="N98" s="147">
        <f>AW98</f>
        <v>15970</v>
      </c>
      <c r="O98" s="147">
        <f>BE98</f>
        <v>11675</v>
      </c>
      <c r="P98" s="177">
        <f>AZ98+BA98</f>
        <v>10860</v>
      </c>
      <c r="Q98" s="147">
        <f>'2001'!AU98</f>
        <v>5187</v>
      </c>
      <c r="R98" s="147">
        <f>AT98+AX98</f>
        <v>9803</v>
      </c>
      <c r="S98" s="147">
        <f>AV98</f>
        <v>5728</v>
      </c>
      <c r="T98" s="147">
        <f t="shared" si="217"/>
        <v>12974</v>
      </c>
      <c r="U98" s="145">
        <f t="shared" si="217"/>
        <v>34488</v>
      </c>
      <c r="V98" s="147">
        <f>BJ98</f>
        <v>1361</v>
      </c>
      <c r="W98" s="147">
        <f>BR98</f>
        <v>7035</v>
      </c>
      <c r="X98" s="177">
        <f>BH98+BI98</f>
        <v>3587</v>
      </c>
      <c r="Y98" s="177">
        <f>BK98+BL98+BN98</f>
        <v>7856</v>
      </c>
      <c r="Z98" s="147">
        <f>BM98</f>
        <v>13673</v>
      </c>
      <c r="AA98" s="177">
        <f>BO98+BQ98</f>
        <v>4605</v>
      </c>
      <c r="AB98" s="145">
        <f>BP98</f>
        <v>6617</v>
      </c>
      <c r="AC98" s="147">
        <f>BX98</f>
        <v>18640</v>
      </c>
      <c r="AD98" s="147">
        <f>BU98</f>
        <v>7666</v>
      </c>
      <c r="AE98" s="147">
        <f>BT98</f>
        <v>16839</v>
      </c>
      <c r="AF98" s="147">
        <f>CA98</f>
        <v>8473</v>
      </c>
      <c r="AG98" s="147">
        <f>BV98</f>
        <v>18007</v>
      </c>
      <c r="AH98" s="147">
        <f>BZ98</f>
        <v>13925</v>
      </c>
      <c r="AI98" s="147">
        <f>BW98</f>
        <v>10890</v>
      </c>
      <c r="AJ98" s="147">
        <f>BY98</f>
        <v>7434</v>
      </c>
      <c r="AK98" s="145">
        <f>CB98</f>
        <v>16843</v>
      </c>
      <c r="AL98" s="147">
        <f>CE98</f>
        <v>5394</v>
      </c>
      <c r="AM98" s="147">
        <f>CH98</f>
        <v>50367</v>
      </c>
      <c r="AN98" s="147">
        <f>CJ98</f>
        <v>91335</v>
      </c>
      <c r="AO98" s="147">
        <f t="shared" si="218"/>
        <v>14740</v>
      </c>
      <c r="AP98" s="147">
        <f t="shared" si="218"/>
        <v>3227</v>
      </c>
      <c r="AQ98" s="147">
        <f>CK98</f>
        <v>23254</v>
      </c>
      <c r="AR98" s="147">
        <f>CI98</f>
        <v>18662</v>
      </c>
      <c r="AS98" s="178">
        <f>CF98+CG98</f>
        <v>33420</v>
      </c>
      <c r="AT98" s="147">
        <v>669</v>
      </c>
      <c r="AU98" s="147">
        <v>5187</v>
      </c>
      <c r="AV98" s="147">
        <v>5728</v>
      </c>
      <c r="AW98" s="147">
        <v>15970</v>
      </c>
      <c r="AX98" s="147">
        <v>9134</v>
      </c>
      <c r="AY98" s="147">
        <v>12459</v>
      </c>
      <c r="AZ98" s="147">
        <v>579</v>
      </c>
      <c r="BA98" s="147">
        <v>10281</v>
      </c>
      <c r="BB98" s="147">
        <v>12974</v>
      </c>
      <c r="BC98" s="147">
        <v>34488</v>
      </c>
      <c r="BD98" s="147">
        <v>14308</v>
      </c>
      <c r="BE98" s="147">
        <v>11675</v>
      </c>
      <c r="BF98" s="145">
        <v>38616</v>
      </c>
      <c r="BG98" s="199" t="s">
        <v>252</v>
      </c>
      <c r="BH98" s="147">
        <v>268</v>
      </c>
      <c r="BI98" s="147">
        <v>3319</v>
      </c>
      <c r="BJ98" s="147">
        <v>1361</v>
      </c>
      <c r="BK98" s="147">
        <v>329</v>
      </c>
      <c r="BL98" s="147">
        <v>80</v>
      </c>
      <c r="BM98" s="147">
        <v>13673</v>
      </c>
      <c r="BN98" s="147">
        <v>7447</v>
      </c>
      <c r="BO98" s="199">
        <v>174</v>
      </c>
      <c r="BP98" s="147">
        <v>6617</v>
      </c>
      <c r="BQ98" s="147">
        <v>4431</v>
      </c>
      <c r="BR98" s="145">
        <v>7035</v>
      </c>
      <c r="BS98" s="199" t="s">
        <v>252</v>
      </c>
      <c r="BT98" s="147">
        <v>16839</v>
      </c>
      <c r="BU98" s="147">
        <v>7666</v>
      </c>
      <c r="BV98" s="147">
        <v>18007</v>
      </c>
      <c r="BW98" s="147">
        <v>10890</v>
      </c>
      <c r="BX98" s="147">
        <v>18640</v>
      </c>
      <c r="BY98" s="147">
        <v>7434</v>
      </c>
      <c r="BZ98" s="147">
        <v>13925</v>
      </c>
      <c r="CA98" s="147">
        <v>8473</v>
      </c>
      <c r="CB98" s="145">
        <v>16843</v>
      </c>
      <c r="CC98" s="147">
        <v>14740</v>
      </c>
      <c r="CD98" s="147">
        <v>3227</v>
      </c>
      <c r="CE98" s="147">
        <v>5394</v>
      </c>
      <c r="CF98" s="147">
        <v>1622</v>
      </c>
      <c r="CG98" s="147">
        <v>31798</v>
      </c>
      <c r="CH98" s="147">
        <v>50367</v>
      </c>
      <c r="CI98" s="147">
        <v>18662</v>
      </c>
      <c r="CJ98" s="147">
        <v>91335</v>
      </c>
      <c r="CK98" s="198">
        <v>23254</v>
      </c>
      <c r="CL98" s="163">
        <v>575918</v>
      </c>
    </row>
    <row r="99" spans="1:90">
      <c r="A99" s="93">
        <f>ROWS($A$3:A97)</f>
        <v>95</v>
      </c>
      <c r="B99" s="63" t="s">
        <v>107</v>
      </c>
      <c r="C99" s="245">
        <f>C98</f>
        <v>1991</v>
      </c>
      <c r="D99" s="314" t="s">
        <v>11</v>
      </c>
      <c r="E99" s="316"/>
      <c r="F99" s="194">
        <v>631585</v>
      </c>
      <c r="G99" s="195">
        <v>158275</v>
      </c>
      <c r="H99" s="195">
        <v>366244</v>
      </c>
      <c r="I99" s="196">
        <v>1005810</v>
      </c>
      <c r="J99" s="348"/>
      <c r="K99" s="197">
        <f>BF99</f>
        <v>145142</v>
      </c>
      <c r="L99" s="147">
        <f>AY99</f>
        <v>43882</v>
      </c>
      <c r="M99" s="147">
        <f>BD99</f>
        <v>51502</v>
      </c>
      <c r="N99" s="147">
        <f>AW99</f>
        <v>56855</v>
      </c>
      <c r="O99" s="147">
        <f>BE99</f>
        <v>44586</v>
      </c>
      <c r="P99" s="177">
        <f>AZ99+BA99</f>
        <v>40657</v>
      </c>
      <c r="Q99" s="147">
        <f>'2001'!AU99</f>
        <v>19164</v>
      </c>
      <c r="R99" s="147">
        <f>AT99+AX99</f>
        <v>36226</v>
      </c>
      <c r="S99" s="147">
        <f>AV99</f>
        <v>17241</v>
      </c>
      <c r="T99" s="147">
        <f t="shared" si="217"/>
        <v>50377</v>
      </c>
      <c r="U99" s="145">
        <f t="shared" si="217"/>
        <v>125953</v>
      </c>
      <c r="V99" s="147">
        <f>BJ99</f>
        <v>3506</v>
      </c>
      <c r="W99" s="147">
        <f>BR99</f>
        <v>22075</v>
      </c>
      <c r="X99" s="177">
        <f>BH99+BI99</f>
        <v>12798</v>
      </c>
      <c r="Y99" s="177">
        <f>BK99+BL99+BN99</f>
        <v>29775</v>
      </c>
      <c r="Z99" s="147">
        <f>BM99</f>
        <v>53733</v>
      </c>
      <c r="AA99" s="177">
        <f>BO99+BQ99</f>
        <v>15518</v>
      </c>
      <c r="AB99" s="145">
        <f>BP99</f>
        <v>20870</v>
      </c>
      <c r="AC99" s="147">
        <f>BX99</f>
        <v>57720</v>
      </c>
      <c r="AD99" s="147">
        <f>BU99</f>
        <v>21013</v>
      </c>
      <c r="AE99" s="147">
        <f>BT99</f>
        <v>52129</v>
      </c>
      <c r="AF99" s="147">
        <f>CA99</f>
        <v>23837</v>
      </c>
      <c r="AG99" s="147">
        <f>BV99</f>
        <v>50072</v>
      </c>
      <c r="AH99" s="147">
        <f>BZ99</f>
        <v>53438</v>
      </c>
      <c r="AI99" s="147">
        <f>BW99</f>
        <v>30533</v>
      </c>
      <c r="AJ99" s="147">
        <f>BY99</f>
        <v>25761</v>
      </c>
      <c r="AK99" s="145">
        <f>CB99</f>
        <v>51441</v>
      </c>
      <c r="AL99" s="147">
        <f>CE99</f>
        <v>17647</v>
      </c>
      <c r="AM99" s="147">
        <f>CH99</f>
        <v>221402</v>
      </c>
      <c r="AN99" s="147">
        <f>CJ99</f>
        <v>417333</v>
      </c>
      <c r="AO99" s="147">
        <f t="shared" si="218"/>
        <v>53584</v>
      </c>
      <c r="AP99" s="147">
        <f t="shared" si="218"/>
        <v>10165</v>
      </c>
      <c r="AQ99" s="147">
        <f>CK99</f>
        <v>82662</v>
      </c>
      <c r="AR99" s="147">
        <f>CI99</f>
        <v>75628</v>
      </c>
      <c r="AS99" s="178">
        <f>CF99+CG99</f>
        <v>127389</v>
      </c>
      <c r="AT99" s="147">
        <v>2299</v>
      </c>
      <c r="AU99" s="147">
        <v>19164</v>
      </c>
      <c r="AV99" s="147">
        <v>17241</v>
      </c>
      <c r="AW99" s="147">
        <v>56855</v>
      </c>
      <c r="AX99" s="147">
        <v>33927</v>
      </c>
      <c r="AY99" s="147">
        <v>43882</v>
      </c>
      <c r="AZ99" s="147">
        <v>1931</v>
      </c>
      <c r="BA99" s="147">
        <v>38726</v>
      </c>
      <c r="BB99" s="147">
        <v>50377</v>
      </c>
      <c r="BC99" s="147">
        <v>125953</v>
      </c>
      <c r="BD99" s="147">
        <v>51502</v>
      </c>
      <c r="BE99" s="147">
        <v>44586</v>
      </c>
      <c r="BF99" s="145">
        <v>145142</v>
      </c>
      <c r="BG99" s="199">
        <v>0</v>
      </c>
      <c r="BH99" s="147">
        <v>971</v>
      </c>
      <c r="BI99" s="147">
        <v>11827</v>
      </c>
      <c r="BJ99" s="147">
        <v>3506</v>
      </c>
      <c r="BK99" s="147">
        <v>1238</v>
      </c>
      <c r="BL99" s="147">
        <v>275</v>
      </c>
      <c r="BM99" s="147">
        <v>53733</v>
      </c>
      <c r="BN99" s="147">
        <v>28262</v>
      </c>
      <c r="BO99" s="199">
        <v>648</v>
      </c>
      <c r="BP99" s="147">
        <v>20870</v>
      </c>
      <c r="BQ99" s="147">
        <v>14870</v>
      </c>
      <c r="BR99" s="145">
        <v>22075</v>
      </c>
      <c r="BS99" s="199">
        <v>0</v>
      </c>
      <c r="BT99" s="147">
        <v>52129</v>
      </c>
      <c r="BU99" s="147">
        <v>21013</v>
      </c>
      <c r="BV99" s="147">
        <v>50072</v>
      </c>
      <c r="BW99" s="147">
        <v>30533</v>
      </c>
      <c r="BX99" s="147">
        <v>57720</v>
      </c>
      <c r="BY99" s="147">
        <v>25761</v>
      </c>
      <c r="BZ99" s="147">
        <v>53438</v>
      </c>
      <c r="CA99" s="147">
        <v>23837</v>
      </c>
      <c r="CB99" s="145">
        <v>51441</v>
      </c>
      <c r="CC99" s="147">
        <v>53584</v>
      </c>
      <c r="CD99" s="147">
        <v>10165</v>
      </c>
      <c r="CE99" s="147">
        <v>17647</v>
      </c>
      <c r="CF99" s="147">
        <v>7025</v>
      </c>
      <c r="CG99" s="147">
        <v>120364</v>
      </c>
      <c r="CH99" s="147">
        <v>221402</v>
      </c>
      <c r="CI99" s="147">
        <v>75628</v>
      </c>
      <c r="CJ99" s="147">
        <v>417333</v>
      </c>
      <c r="CK99" s="198">
        <v>82662</v>
      </c>
      <c r="CL99" s="163">
        <v>2161914</v>
      </c>
    </row>
    <row r="100" spans="1:90">
      <c r="A100" s="93">
        <f>ROWS($A$3:A98)</f>
        <v>96</v>
      </c>
      <c r="B100" s="63"/>
      <c r="C100" s="243"/>
      <c r="D100" s="314"/>
      <c r="E100" s="333"/>
      <c r="F100" s="194" t="s">
        <v>245</v>
      </c>
      <c r="G100" s="195" t="s">
        <v>245</v>
      </c>
      <c r="H100" s="195" t="s">
        <v>245</v>
      </c>
      <c r="I100" s="196" t="s">
        <v>245</v>
      </c>
      <c r="J100" s="348"/>
      <c r="K100" s="197" t="s">
        <v>245</v>
      </c>
      <c r="L100" s="147" t="s">
        <v>245</v>
      </c>
      <c r="M100" s="147" t="s">
        <v>245</v>
      </c>
      <c r="N100" s="147" t="s">
        <v>245</v>
      </c>
      <c r="O100" s="147" t="s">
        <v>245</v>
      </c>
      <c r="P100" s="147" t="s">
        <v>229</v>
      </c>
      <c r="Q100" s="147" t="s">
        <v>245</v>
      </c>
      <c r="R100" s="147" t="s">
        <v>230</v>
      </c>
      <c r="S100" s="147" t="s">
        <v>245</v>
      </c>
      <c r="T100" s="147" t="s">
        <v>245</v>
      </c>
      <c r="U100" s="145" t="s">
        <v>245</v>
      </c>
      <c r="V100" s="147" t="s">
        <v>231</v>
      </c>
      <c r="W100" s="147" t="s">
        <v>245</v>
      </c>
      <c r="X100" s="147" t="s">
        <v>232</v>
      </c>
      <c r="Y100" s="147" t="s">
        <v>233</v>
      </c>
      <c r="Z100" s="147" t="s">
        <v>245</v>
      </c>
      <c r="AA100" s="147" t="s">
        <v>234</v>
      </c>
      <c r="AB100" s="145" t="s">
        <v>245</v>
      </c>
      <c r="AC100" s="147" t="s">
        <v>245</v>
      </c>
      <c r="AD100" s="147" t="s">
        <v>245</v>
      </c>
      <c r="AE100" s="147" t="s">
        <v>235</v>
      </c>
      <c r="AF100" s="147" t="s">
        <v>245</v>
      </c>
      <c r="AG100" s="147" t="s">
        <v>245</v>
      </c>
      <c r="AH100" s="147" t="s">
        <v>245</v>
      </c>
      <c r="AI100" s="147" t="s">
        <v>245</v>
      </c>
      <c r="AJ100" s="147" t="s">
        <v>245</v>
      </c>
      <c r="AK100" s="145" t="s">
        <v>245</v>
      </c>
      <c r="AL100" s="147" t="s">
        <v>245</v>
      </c>
      <c r="AM100" s="147" t="s">
        <v>245</v>
      </c>
      <c r="AN100" s="147" t="s">
        <v>245</v>
      </c>
      <c r="AO100" s="147" t="s">
        <v>245</v>
      </c>
      <c r="AP100" s="147" t="s">
        <v>245</v>
      </c>
      <c r="AQ100" s="147" t="s">
        <v>245</v>
      </c>
      <c r="AR100" s="147" t="s">
        <v>245</v>
      </c>
      <c r="AS100" s="198" t="s">
        <v>236</v>
      </c>
      <c r="AT100" s="147"/>
      <c r="AU100" s="147"/>
      <c r="AV100" s="147"/>
      <c r="AW100" s="147"/>
      <c r="AX100" s="147"/>
      <c r="AY100" s="147"/>
      <c r="AZ100" s="147"/>
      <c r="BA100" s="147"/>
      <c r="BB100" s="147"/>
      <c r="BC100" s="147"/>
      <c r="BD100" s="147"/>
      <c r="BE100" s="147"/>
      <c r="BF100" s="145"/>
      <c r="BG100" s="199"/>
      <c r="BH100" s="147"/>
      <c r="BI100" s="147"/>
      <c r="BJ100" s="147"/>
      <c r="BK100" s="147"/>
      <c r="BL100" s="147"/>
      <c r="BM100" s="147"/>
      <c r="BN100" s="147"/>
      <c r="BO100" s="199"/>
      <c r="BP100" s="147"/>
      <c r="BQ100" s="147"/>
      <c r="BR100" s="145"/>
      <c r="BS100" s="199"/>
      <c r="BT100" s="147"/>
      <c r="BU100" s="147"/>
      <c r="BV100" s="147"/>
      <c r="BW100" s="147"/>
      <c r="BX100" s="147"/>
      <c r="BY100" s="147"/>
      <c r="BZ100" s="147"/>
      <c r="CA100" s="147"/>
      <c r="CB100" s="145"/>
      <c r="CC100" s="147"/>
      <c r="CD100" s="147"/>
      <c r="CE100" s="147"/>
      <c r="CF100" s="147"/>
      <c r="CG100" s="147"/>
      <c r="CH100" s="147"/>
      <c r="CI100" s="147"/>
      <c r="CJ100" s="147"/>
      <c r="CK100" s="198"/>
      <c r="CL100" s="163"/>
    </row>
    <row r="101" spans="1:90">
      <c r="A101" s="93">
        <f>ROWS($A$3:A99)</f>
        <v>97</v>
      </c>
      <c r="B101" s="63" t="s">
        <v>275</v>
      </c>
      <c r="C101" s="243">
        <f>C86</f>
        <v>2001</v>
      </c>
      <c r="D101" s="314" t="s">
        <v>14</v>
      </c>
      <c r="E101" s="316">
        <v>40694</v>
      </c>
      <c r="F101" s="194"/>
      <c r="G101" s="195"/>
      <c r="H101" s="195"/>
      <c r="I101" s="196"/>
      <c r="J101" s="348"/>
      <c r="K101" s="197">
        <f t="shared" ref="K101:K107" si="219">BF101</f>
        <v>211</v>
      </c>
      <c r="L101" s="147">
        <f t="shared" ref="L101:L107" si="220">AY101</f>
        <v>71</v>
      </c>
      <c r="M101" s="147">
        <f t="shared" ref="M101:M107" si="221">BD101</f>
        <v>175</v>
      </c>
      <c r="N101" s="147">
        <f t="shared" ref="N101:N107" si="222">AW101</f>
        <v>101</v>
      </c>
      <c r="O101" s="147">
        <f t="shared" ref="O101:O107" si="223">BE101</f>
        <v>92</v>
      </c>
      <c r="P101" s="147">
        <f>'2001'!AZ101+'2001'!BA101</f>
        <v>228</v>
      </c>
      <c r="Q101" s="147">
        <f>'2001'!AU101</f>
        <v>110</v>
      </c>
      <c r="R101" s="147">
        <f t="shared" ref="R101:R107" si="224">AT101+AX101</f>
        <v>136</v>
      </c>
      <c r="S101" s="147">
        <f t="shared" ref="S101:S107" si="225">AV101</f>
        <v>113</v>
      </c>
      <c r="T101" s="147">
        <f t="shared" ref="T101:U107" si="226">BB101</f>
        <v>211</v>
      </c>
      <c r="U101" s="145">
        <f t="shared" si="226"/>
        <v>249</v>
      </c>
      <c r="V101" s="147">
        <f t="shared" ref="V101:V107" si="227">BG101+BJ101</f>
        <v>56</v>
      </c>
      <c r="W101" s="147">
        <f t="shared" ref="W101:W107" si="228">BR101</f>
        <v>56</v>
      </c>
      <c r="X101" s="147">
        <f t="shared" ref="X101:X107" si="229">BH101+BI101</f>
        <v>167</v>
      </c>
      <c r="Y101" s="147">
        <f t="shared" ref="Y101:Y107" si="230">BK101+BL101+BN101</f>
        <v>92</v>
      </c>
      <c r="Z101" s="147">
        <f t="shared" ref="Z101:Z107" si="231">BM101</f>
        <v>110</v>
      </c>
      <c r="AA101" s="147">
        <f t="shared" ref="AA101:AA107" si="232">BO101+BQ101</f>
        <v>61</v>
      </c>
      <c r="AB101" s="145">
        <f t="shared" ref="AB101:AB107" si="233">BP101</f>
        <v>35</v>
      </c>
      <c r="AC101" s="147">
        <f t="shared" ref="AC101:AC107" si="234">BX101</f>
        <v>117</v>
      </c>
      <c r="AD101" s="147">
        <f t="shared" ref="AD101:AD107" si="235">BU101</f>
        <v>33</v>
      </c>
      <c r="AE101" s="147">
        <f t="shared" ref="AE101:AE107" si="236">BS101+BT101</f>
        <v>138</v>
      </c>
      <c r="AF101" s="147">
        <f t="shared" ref="AF101:AF107" si="237">CA101</f>
        <v>66</v>
      </c>
      <c r="AG101" s="147">
        <f t="shared" ref="AG101:AG107" si="238">BV101</f>
        <v>133</v>
      </c>
      <c r="AH101" s="147">
        <f t="shared" ref="AH101:AH107" si="239">BZ101</f>
        <v>100</v>
      </c>
      <c r="AI101" s="147">
        <f t="shared" ref="AI101:AI107" si="240">BW101</f>
        <v>110</v>
      </c>
      <c r="AJ101" s="147">
        <f t="shared" ref="AJ101:AJ107" si="241">BY101</f>
        <v>75</v>
      </c>
      <c r="AK101" s="145">
        <f t="shared" ref="AK101:AK107" si="242">CB101</f>
        <v>131</v>
      </c>
      <c r="AL101" s="147">
        <f t="shared" ref="AL101:AL107" si="243">CE101</f>
        <v>115</v>
      </c>
      <c r="AM101" s="147">
        <f t="shared" ref="AM101:AM107" si="244">CH101</f>
        <v>268</v>
      </c>
      <c r="AN101" s="147">
        <f t="shared" ref="AN101:AN107" si="245">CJ101</f>
        <v>154</v>
      </c>
      <c r="AO101" s="147">
        <f t="shared" ref="AO101:AP107" si="246">CC101</f>
        <v>164</v>
      </c>
      <c r="AP101" s="147">
        <f t="shared" si="246"/>
        <v>97</v>
      </c>
      <c r="AQ101" s="147">
        <f t="shared" ref="AQ101:AQ107" si="247">CK101</f>
        <v>227</v>
      </c>
      <c r="AR101" s="147">
        <f t="shared" ref="AR101:AR107" si="248">CI101</f>
        <v>35</v>
      </c>
      <c r="AS101" s="198">
        <f t="shared" ref="AS101:AS107" si="249">CF101+CG101</f>
        <v>310</v>
      </c>
      <c r="AT101" s="147">
        <v>7</v>
      </c>
      <c r="AU101" s="147">
        <v>110</v>
      </c>
      <c r="AV101" s="147">
        <v>113</v>
      </c>
      <c r="AW101" s="147">
        <v>101</v>
      </c>
      <c r="AX101" s="147">
        <v>129</v>
      </c>
      <c r="AY101" s="147">
        <v>71</v>
      </c>
      <c r="AZ101" s="147">
        <v>14</v>
      </c>
      <c r="BA101" s="147">
        <v>214</v>
      </c>
      <c r="BB101" s="147">
        <v>211</v>
      </c>
      <c r="BC101" s="147">
        <v>249</v>
      </c>
      <c r="BD101" s="147">
        <v>175</v>
      </c>
      <c r="BE101" s="147">
        <v>92</v>
      </c>
      <c r="BF101" s="145">
        <v>211</v>
      </c>
      <c r="BG101" s="199">
        <v>9</v>
      </c>
      <c r="BH101" s="147">
        <v>8</v>
      </c>
      <c r="BI101" s="147">
        <v>159</v>
      </c>
      <c r="BJ101" s="147">
        <v>47</v>
      </c>
      <c r="BK101" s="147">
        <v>1</v>
      </c>
      <c r="BL101" s="147">
        <v>2</v>
      </c>
      <c r="BM101" s="147">
        <v>110</v>
      </c>
      <c r="BN101" s="147">
        <v>89</v>
      </c>
      <c r="BO101" s="199">
        <v>3</v>
      </c>
      <c r="BP101" s="147">
        <v>35</v>
      </c>
      <c r="BQ101" s="147">
        <v>58</v>
      </c>
      <c r="BR101" s="145">
        <v>56</v>
      </c>
      <c r="BS101" s="199">
        <v>2</v>
      </c>
      <c r="BT101" s="147">
        <v>136</v>
      </c>
      <c r="BU101" s="147">
        <v>33</v>
      </c>
      <c r="BV101" s="147">
        <v>133</v>
      </c>
      <c r="BW101" s="147">
        <v>110</v>
      </c>
      <c r="BX101" s="147">
        <v>117</v>
      </c>
      <c r="BY101" s="147">
        <v>75</v>
      </c>
      <c r="BZ101" s="147">
        <v>100</v>
      </c>
      <c r="CA101" s="147">
        <v>66</v>
      </c>
      <c r="CB101" s="145">
        <v>131</v>
      </c>
      <c r="CC101" s="147">
        <v>164</v>
      </c>
      <c r="CD101" s="147">
        <v>97</v>
      </c>
      <c r="CE101" s="147">
        <v>115</v>
      </c>
      <c r="CF101" s="147">
        <v>3</v>
      </c>
      <c r="CG101" s="147">
        <v>307</v>
      </c>
      <c r="CH101" s="147">
        <v>268</v>
      </c>
      <c r="CI101" s="147">
        <v>35</v>
      </c>
      <c r="CJ101" s="147">
        <v>154</v>
      </c>
      <c r="CK101" s="198">
        <v>227</v>
      </c>
      <c r="CL101" s="163">
        <v>4546</v>
      </c>
    </row>
    <row r="102" spans="1:90">
      <c r="A102" s="93">
        <f>ROWS($A$3:A100)</f>
        <v>98</v>
      </c>
      <c r="B102" s="63"/>
      <c r="C102" s="243"/>
      <c r="D102" s="314"/>
      <c r="E102" s="333"/>
      <c r="F102" s="194"/>
      <c r="G102" s="195"/>
      <c r="H102" s="195"/>
      <c r="I102" s="196"/>
      <c r="J102" s="348"/>
      <c r="K102" s="197">
        <f t="shared" si="219"/>
        <v>0</v>
      </c>
      <c r="L102" s="147">
        <f t="shared" si="220"/>
        <v>0</v>
      </c>
      <c r="M102" s="147">
        <f t="shared" si="221"/>
        <v>0</v>
      </c>
      <c r="N102" s="147">
        <f t="shared" si="222"/>
        <v>0</v>
      </c>
      <c r="O102" s="147">
        <f t="shared" si="223"/>
        <v>0</v>
      </c>
      <c r="P102" s="147">
        <f>'2001'!AZ102+'2001'!BA102</f>
        <v>0</v>
      </c>
      <c r="Q102" s="147">
        <f>'2001'!AU102</f>
        <v>0</v>
      </c>
      <c r="R102" s="147">
        <f t="shared" si="224"/>
        <v>0</v>
      </c>
      <c r="S102" s="147">
        <f t="shared" si="225"/>
        <v>0</v>
      </c>
      <c r="T102" s="147">
        <f t="shared" si="226"/>
        <v>0</v>
      </c>
      <c r="U102" s="145">
        <f t="shared" si="226"/>
        <v>0</v>
      </c>
      <c r="V102" s="147">
        <f t="shared" si="227"/>
        <v>0</v>
      </c>
      <c r="W102" s="147">
        <f t="shared" si="228"/>
        <v>0</v>
      </c>
      <c r="X102" s="147">
        <f t="shared" si="229"/>
        <v>0</v>
      </c>
      <c r="Y102" s="147">
        <f t="shared" si="230"/>
        <v>0</v>
      </c>
      <c r="Z102" s="147">
        <f t="shared" si="231"/>
        <v>0</v>
      </c>
      <c r="AA102" s="147">
        <f t="shared" si="232"/>
        <v>0</v>
      </c>
      <c r="AB102" s="145">
        <f t="shared" si="233"/>
        <v>0</v>
      </c>
      <c r="AC102" s="147">
        <f t="shared" si="234"/>
        <v>0</v>
      </c>
      <c r="AD102" s="147">
        <f t="shared" si="235"/>
        <v>0</v>
      </c>
      <c r="AE102" s="147">
        <f t="shared" si="236"/>
        <v>0</v>
      </c>
      <c r="AF102" s="147">
        <f t="shared" si="237"/>
        <v>0</v>
      </c>
      <c r="AG102" s="147">
        <f t="shared" si="238"/>
        <v>0</v>
      </c>
      <c r="AH102" s="147">
        <f t="shared" si="239"/>
        <v>0</v>
      </c>
      <c r="AI102" s="147">
        <f t="shared" si="240"/>
        <v>0</v>
      </c>
      <c r="AJ102" s="147">
        <f t="shared" si="241"/>
        <v>0</v>
      </c>
      <c r="AK102" s="145">
        <f t="shared" si="242"/>
        <v>0</v>
      </c>
      <c r="AL102" s="147">
        <f t="shared" si="243"/>
        <v>0</v>
      </c>
      <c r="AM102" s="147">
        <f t="shared" si="244"/>
        <v>0</v>
      </c>
      <c r="AN102" s="147">
        <f t="shared" si="245"/>
        <v>0</v>
      </c>
      <c r="AO102" s="147">
        <f t="shared" si="246"/>
        <v>0</v>
      </c>
      <c r="AP102" s="147">
        <f t="shared" si="246"/>
        <v>0</v>
      </c>
      <c r="AQ102" s="147">
        <f t="shared" si="247"/>
        <v>0</v>
      </c>
      <c r="AR102" s="147">
        <f t="shared" si="248"/>
        <v>0</v>
      </c>
      <c r="AS102" s="198">
        <f t="shared" si="249"/>
        <v>0</v>
      </c>
      <c r="AT102" s="147">
        <v>0</v>
      </c>
      <c r="AU102" s="147"/>
      <c r="AV102" s="147"/>
      <c r="AW102" s="147"/>
      <c r="AX102" s="147"/>
      <c r="AY102" s="147"/>
      <c r="AZ102" s="147"/>
      <c r="BA102" s="147"/>
      <c r="BB102" s="147"/>
      <c r="BC102" s="147"/>
      <c r="BD102" s="147"/>
      <c r="BE102" s="147"/>
      <c r="BF102" s="145"/>
      <c r="BG102" s="199"/>
      <c r="BH102" s="147"/>
      <c r="BI102" s="147"/>
      <c r="BJ102" s="147"/>
      <c r="BK102" s="147"/>
      <c r="BL102" s="147"/>
      <c r="BM102" s="147"/>
      <c r="BN102" s="147"/>
      <c r="BO102" s="199"/>
      <c r="BP102" s="147"/>
      <c r="BQ102" s="147"/>
      <c r="BR102" s="145"/>
      <c r="BS102" s="199"/>
      <c r="BT102" s="147"/>
      <c r="BU102" s="147"/>
      <c r="BV102" s="147"/>
      <c r="BW102" s="147"/>
      <c r="BX102" s="147"/>
      <c r="BY102" s="147"/>
      <c r="BZ102" s="147"/>
      <c r="CA102" s="147"/>
      <c r="CB102" s="145"/>
      <c r="CC102" s="147"/>
      <c r="CD102" s="147"/>
      <c r="CE102" s="147"/>
      <c r="CF102" s="147"/>
      <c r="CG102" s="147"/>
      <c r="CH102" s="147"/>
      <c r="CI102" s="147"/>
      <c r="CJ102" s="147"/>
      <c r="CK102" s="198"/>
      <c r="CL102" s="163"/>
    </row>
    <row r="103" spans="1:90">
      <c r="A103" s="93">
        <f>ROWS($A$3:A101)</f>
        <v>99</v>
      </c>
      <c r="B103" s="63"/>
      <c r="C103" s="243"/>
      <c r="D103" s="314"/>
      <c r="E103" s="333"/>
      <c r="F103" s="194"/>
      <c r="G103" s="195"/>
      <c r="H103" s="195"/>
      <c r="I103" s="196"/>
      <c r="J103" s="348"/>
      <c r="K103" s="197">
        <f t="shared" si="219"/>
        <v>0</v>
      </c>
      <c r="L103" s="147">
        <f t="shared" si="220"/>
        <v>0</v>
      </c>
      <c r="M103" s="147">
        <f t="shared" si="221"/>
        <v>0</v>
      </c>
      <c r="N103" s="147">
        <f t="shared" si="222"/>
        <v>0</v>
      </c>
      <c r="O103" s="147">
        <f t="shared" si="223"/>
        <v>0</v>
      </c>
      <c r="P103" s="147">
        <f>'2001'!AZ103+'2001'!BA103</f>
        <v>0</v>
      </c>
      <c r="Q103" s="147">
        <f>'2001'!AU103</f>
        <v>0</v>
      </c>
      <c r="R103" s="147">
        <f t="shared" si="224"/>
        <v>0</v>
      </c>
      <c r="S103" s="147">
        <f t="shared" si="225"/>
        <v>0</v>
      </c>
      <c r="T103" s="147">
        <f t="shared" si="226"/>
        <v>0</v>
      </c>
      <c r="U103" s="145">
        <f t="shared" si="226"/>
        <v>0</v>
      </c>
      <c r="V103" s="147">
        <f t="shared" si="227"/>
        <v>0</v>
      </c>
      <c r="W103" s="147">
        <f t="shared" si="228"/>
        <v>0</v>
      </c>
      <c r="X103" s="147">
        <f t="shared" si="229"/>
        <v>0</v>
      </c>
      <c r="Y103" s="147">
        <f t="shared" si="230"/>
        <v>0</v>
      </c>
      <c r="Z103" s="147">
        <f t="shared" si="231"/>
        <v>0</v>
      </c>
      <c r="AA103" s="147">
        <f t="shared" si="232"/>
        <v>0</v>
      </c>
      <c r="AB103" s="145">
        <f t="shared" si="233"/>
        <v>0</v>
      </c>
      <c r="AC103" s="147">
        <f t="shared" si="234"/>
        <v>0</v>
      </c>
      <c r="AD103" s="147">
        <f t="shared" si="235"/>
        <v>0</v>
      </c>
      <c r="AE103" s="147">
        <f t="shared" si="236"/>
        <v>0</v>
      </c>
      <c r="AF103" s="147">
        <f t="shared" si="237"/>
        <v>0</v>
      </c>
      <c r="AG103" s="147">
        <f t="shared" si="238"/>
        <v>0</v>
      </c>
      <c r="AH103" s="147">
        <f t="shared" si="239"/>
        <v>0</v>
      </c>
      <c r="AI103" s="147">
        <f t="shared" si="240"/>
        <v>0</v>
      </c>
      <c r="AJ103" s="147">
        <f t="shared" si="241"/>
        <v>0</v>
      </c>
      <c r="AK103" s="145">
        <f t="shared" si="242"/>
        <v>0</v>
      </c>
      <c r="AL103" s="147">
        <f t="shared" si="243"/>
        <v>0</v>
      </c>
      <c r="AM103" s="147">
        <f t="shared" si="244"/>
        <v>0</v>
      </c>
      <c r="AN103" s="147">
        <f t="shared" si="245"/>
        <v>0</v>
      </c>
      <c r="AO103" s="147">
        <f t="shared" si="246"/>
        <v>0</v>
      </c>
      <c r="AP103" s="147">
        <f t="shared" si="246"/>
        <v>0</v>
      </c>
      <c r="AQ103" s="147">
        <f t="shared" si="247"/>
        <v>0</v>
      </c>
      <c r="AR103" s="147">
        <f t="shared" si="248"/>
        <v>0</v>
      </c>
      <c r="AS103" s="198">
        <f t="shared" si="249"/>
        <v>0</v>
      </c>
      <c r="AT103" s="147">
        <v>0</v>
      </c>
      <c r="AU103" s="147"/>
      <c r="AV103" s="147"/>
      <c r="AW103" s="147"/>
      <c r="AX103" s="147"/>
      <c r="AY103" s="147"/>
      <c r="AZ103" s="147"/>
      <c r="BA103" s="147"/>
      <c r="BB103" s="147"/>
      <c r="BC103" s="147"/>
      <c r="BD103" s="147"/>
      <c r="BE103" s="147"/>
      <c r="BF103" s="145"/>
      <c r="BG103" s="199"/>
      <c r="BH103" s="147"/>
      <c r="BI103" s="147"/>
      <c r="BJ103" s="147"/>
      <c r="BK103" s="147"/>
      <c r="BL103" s="147"/>
      <c r="BM103" s="147"/>
      <c r="BN103" s="147"/>
      <c r="BO103" s="199"/>
      <c r="BP103" s="147"/>
      <c r="BQ103" s="147"/>
      <c r="BR103" s="145"/>
      <c r="BS103" s="199"/>
      <c r="BT103" s="147"/>
      <c r="BU103" s="147"/>
      <c r="BV103" s="147"/>
      <c r="BW103" s="147"/>
      <c r="BX103" s="147"/>
      <c r="BY103" s="147"/>
      <c r="BZ103" s="147"/>
      <c r="CA103" s="147"/>
      <c r="CB103" s="145"/>
      <c r="CC103" s="147"/>
      <c r="CD103" s="147"/>
      <c r="CE103" s="147"/>
      <c r="CF103" s="147"/>
      <c r="CG103" s="147"/>
      <c r="CH103" s="147"/>
      <c r="CI103" s="147"/>
      <c r="CJ103" s="147"/>
      <c r="CK103" s="198"/>
      <c r="CL103" s="163"/>
    </row>
    <row r="104" spans="1:90">
      <c r="A104" s="93">
        <f>ROWS($A$3:A102)</f>
        <v>100</v>
      </c>
      <c r="B104" s="63"/>
      <c r="C104" s="243"/>
      <c r="D104" s="314"/>
      <c r="E104" s="333"/>
      <c r="F104" s="194"/>
      <c r="G104" s="195"/>
      <c r="H104" s="195"/>
      <c r="I104" s="196"/>
      <c r="J104" s="195"/>
      <c r="K104" s="197">
        <f t="shared" si="219"/>
        <v>0</v>
      </c>
      <c r="L104" s="147">
        <f t="shared" si="220"/>
        <v>0</v>
      </c>
      <c r="M104" s="147">
        <f t="shared" si="221"/>
        <v>0</v>
      </c>
      <c r="N104" s="147">
        <f t="shared" si="222"/>
        <v>0</v>
      </c>
      <c r="O104" s="147">
        <f t="shared" si="223"/>
        <v>0</v>
      </c>
      <c r="P104" s="147">
        <f>'2001'!AZ104+'2001'!BA104</f>
        <v>0</v>
      </c>
      <c r="Q104" s="147">
        <f>'2001'!AU104</f>
        <v>0</v>
      </c>
      <c r="R104" s="147">
        <f t="shared" si="224"/>
        <v>0</v>
      </c>
      <c r="S104" s="147">
        <f t="shared" si="225"/>
        <v>0</v>
      </c>
      <c r="T104" s="147">
        <f t="shared" si="226"/>
        <v>0</v>
      </c>
      <c r="U104" s="145">
        <f t="shared" si="226"/>
        <v>0</v>
      </c>
      <c r="V104" s="147">
        <f t="shared" si="227"/>
        <v>0</v>
      </c>
      <c r="W104" s="147">
        <f t="shared" si="228"/>
        <v>0</v>
      </c>
      <c r="X104" s="147">
        <f t="shared" si="229"/>
        <v>0</v>
      </c>
      <c r="Y104" s="147">
        <f t="shared" si="230"/>
        <v>0</v>
      </c>
      <c r="Z104" s="147">
        <f t="shared" si="231"/>
        <v>0</v>
      </c>
      <c r="AA104" s="147">
        <f t="shared" si="232"/>
        <v>0</v>
      </c>
      <c r="AB104" s="145">
        <f t="shared" si="233"/>
        <v>0</v>
      </c>
      <c r="AC104" s="147">
        <f t="shared" si="234"/>
        <v>0</v>
      </c>
      <c r="AD104" s="147">
        <f t="shared" si="235"/>
        <v>0</v>
      </c>
      <c r="AE104" s="147">
        <f t="shared" si="236"/>
        <v>0</v>
      </c>
      <c r="AF104" s="147">
        <f t="shared" si="237"/>
        <v>0</v>
      </c>
      <c r="AG104" s="147">
        <f t="shared" si="238"/>
        <v>0</v>
      </c>
      <c r="AH104" s="147">
        <f t="shared" si="239"/>
        <v>0</v>
      </c>
      <c r="AI104" s="147">
        <f t="shared" si="240"/>
        <v>0</v>
      </c>
      <c r="AJ104" s="147">
        <f t="shared" si="241"/>
        <v>0</v>
      </c>
      <c r="AK104" s="145">
        <f t="shared" si="242"/>
        <v>0</v>
      </c>
      <c r="AL104" s="147">
        <f t="shared" si="243"/>
        <v>0</v>
      </c>
      <c r="AM104" s="147">
        <f t="shared" si="244"/>
        <v>0</v>
      </c>
      <c r="AN104" s="147">
        <f t="shared" si="245"/>
        <v>0</v>
      </c>
      <c r="AO104" s="147">
        <f t="shared" si="246"/>
        <v>0</v>
      </c>
      <c r="AP104" s="147">
        <f t="shared" si="246"/>
        <v>0</v>
      </c>
      <c r="AQ104" s="147">
        <f t="shared" si="247"/>
        <v>0</v>
      </c>
      <c r="AR104" s="147">
        <f t="shared" si="248"/>
        <v>0</v>
      </c>
      <c r="AS104" s="198">
        <f t="shared" si="249"/>
        <v>0</v>
      </c>
      <c r="AT104" s="147">
        <v>0</v>
      </c>
      <c r="AU104" s="147"/>
      <c r="AV104" s="147"/>
      <c r="AW104" s="147"/>
      <c r="AX104" s="147"/>
      <c r="AY104" s="147"/>
      <c r="AZ104" s="147"/>
      <c r="BA104" s="147"/>
      <c r="BB104" s="147"/>
      <c r="BC104" s="147"/>
      <c r="BD104" s="147"/>
      <c r="BE104" s="147"/>
      <c r="BF104" s="145"/>
      <c r="BG104" s="199"/>
      <c r="BH104" s="147"/>
      <c r="BI104" s="147"/>
      <c r="BJ104" s="147"/>
      <c r="BK104" s="147"/>
      <c r="BL104" s="147"/>
      <c r="BM104" s="147"/>
      <c r="BN104" s="147"/>
      <c r="BO104" s="199"/>
      <c r="BP104" s="147"/>
      <c r="BQ104" s="147"/>
      <c r="BR104" s="145"/>
      <c r="BS104" s="199"/>
      <c r="BT104" s="147"/>
      <c r="BU104" s="147"/>
      <c r="BV104" s="147"/>
      <c r="BW104" s="147"/>
      <c r="BX104" s="147"/>
      <c r="BY104" s="147"/>
      <c r="BZ104" s="147"/>
      <c r="CA104" s="147"/>
      <c r="CB104" s="145"/>
      <c r="CC104" s="147"/>
      <c r="CD104" s="147"/>
      <c r="CE104" s="147"/>
      <c r="CF104" s="147"/>
      <c r="CG104" s="147"/>
      <c r="CH104" s="147"/>
      <c r="CI104" s="147"/>
      <c r="CJ104" s="147"/>
      <c r="CK104" s="198"/>
      <c r="CL104" s="163"/>
    </row>
    <row r="105" spans="1:90">
      <c r="A105" s="93">
        <f>ROWS($A$3:A103)</f>
        <v>101</v>
      </c>
      <c r="B105" s="63"/>
      <c r="C105" s="243"/>
      <c r="D105" s="314"/>
      <c r="E105" s="333"/>
      <c r="F105" s="194"/>
      <c r="G105" s="195"/>
      <c r="H105" s="195"/>
      <c r="I105" s="196"/>
      <c r="J105" s="195"/>
      <c r="K105" s="197">
        <f t="shared" si="219"/>
        <v>0</v>
      </c>
      <c r="L105" s="147">
        <f t="shared" si="220"/>
        <v>0</v>
      </c>
      <c r="M105" s="147">
        <f t="shared" si="221"/>
        <v>0</v>
      </c>
      <c r="N105" s="147">
        <f t="shared" si="222"/>
        <v>0</v>
      </c>
      <c r="O105" s="147">
        <f t="shared" si="223"/>
        <v>0</v>
      </c>
      <c r="P105" s="147">
        <f>'2001'!AZ105+'2001'!BA105</f>
        <v>0</v>
      </c>
      <c r="Q105" s="147">
        <f>'2001'!AU105</f>
        <v>0</v>
      </c>
      <c r="R105" s="147">
        <f t="shared" si="224"/>
        <v>0</v>
      </c>
      <c r="S105" s="147">
        <f t="shared" si="225"/>
        <v>0</v>
      </c>
      <c r="T105" s="147">
        <f t="shared" si="226"/>
        <v>0</v>
      </c>
      <c r="U105" s="145">
        <f t="shared" si="226"/>
        <v>0</v>
      </c>
      <c r="V105" s="147">
        <f t="shared" si="227"/>
        <v>0</v>
      </c>
      <c r="W105" s="147">
        <f t="shared" si="228"/>
        <v>0</v>
      </c>
      <c r="X105" s="147">
        <f t="shared" si="229"/>
        <v>0</v>
      </c>
      <c r="Y105" s="147">
        <f t="shared" si="230"/>
        <v>0</v>
      </c>
      <c r="Z105" s="147">
        <f t="shared" si="231"/>
        <v>0</v>
      </c>
      <c r="AA105" s="147">
        <f t="shared" si="232"/>
        <v>0</v>
      </c>
      <c r="AB105" s="145">
        <f t="shared" si="233"/>
        <v>0</v>
      </c>
      <c r="AC105" s="147">
        <f t="shared" si="234"/>
        <v>0</v>
      </c>
      <c r="AD105" s="147">
        <f t="shared" si="235"/>
        <v>0</v>
      </c>
      <c r="AE105" s="147">
        <f t="shared" si="236"/>
        <v>0</v>
      </c>
      <c r="AF105" s="147">
        <f t="shared" si="237"/>
        <v>0</v>
      </c>
      <c r="AG105" s="147">
        <f t="shared" si="238"/>
        <v>0</v>
      </c>
      <c r="AH105" s="147">
        <f t="shared" si="239"/>
        <v>0</v>
      </c>
      <c r="AI105" s="147">
        <f t="shared" si="240"/>
        <v>0</v>
      </c>
      <c r="AJ105" s="147">
        <f t="shared" si="241"/>
        <v>0</v>
      </c>
      <c r="AK105" s="145">
        <f t="shared" si="242"/>
        <v>0</v>
      </c>
      <c r="AL105" s="147">
        <f t="shared" si="243"/>
        <v>0</v>
      </c>
      <c r="AM105" s="147">
        <f t="shared" si="244"/>
        <v>0</v>
      </c>
      <c r="AN105" s="147">
        <f t="shared" si="245"/>
        <v>0</v>
      </c>
      <c r="AO105" s="147">
        <f t="shared" si="246"/>
        <v>0</v>
      </c>
      <c r="AP105" s="147">
        <f t="shared" si="246"/>
        <v>0</v>
      </c>
      <c r="AQ105" s="147">
        <f t="shared" si="247"/>
        <v>0</v>
      </c>
      <c r="AR105" s="147">
        <f t="shared" si="248"/>
        <v>0</v>
      </c>
      <c r="AS105" s="198">
        <f t="shared" si="249"/>
        <v>0</v>
      </c>
      <c r="AT105" s="147">
        <v>0</v>
      </c>
      <c r="AU105" s="147"/>
      <c r="AV105" s="147"/>
      <c r="AW105" s="147"/>
      <c r="AX105" s="147"/>
      <c r="AY105" s="147"/>
      <c r="AZ105" s="147"/>
      <c r="BA105" s="147"/>
      <c r="BB105" s="147"/>
      <c r="BC105" s="147"/>
      <c r="BD105" s="147"/>
      <c r="BE105" s="147"/>
      <c r="BF105" s="145"/>
      <c r="BG105" s="199"/>
      <c r="BH105" s="147"/>
      <c r="BI105" s="147"/>
      <c r="BJ105" s="147"/>
      <c r="BK105" s="147"/>
      <c r="BL105" s="147"/>
      <c r="BM105" s="147"/>
      <c r="BN105" s="147"/>
      <c r="BO105" s="199"/>
      <c r="BP105" s="147"/>
      <c r="BQ105" s="147"/>
      <c r="BR105" s="145"/>
      <c r="BS105" s="199"/>
      <c r="BT105" s="147"/>
      <c r="BU105" s="147"/>
      <c r="BV105" s="147"/>
      <c r="BW105" s="147"/>
      <c r="BX105" s="147"/>
      <c r="BY105" s="147"/>
      <c r="BZ105" s="147"/>
      <c r="CA105" s="147"/>
      <c r="CB105" s="145"/>
      <c r="CC105" s="147"/>
      <c r="CD105" s="147"/>
      <c r="CE105" s="147"/>
      <c r="CF105" s="147"/>
      <c r="CG105" s="147"/>
      <c r="CH105" s="147"/>
      <c r="CI105" s="147"/>
      <c r="CJ105" s="147"/>
      <c r="CK105" s="198"/>
      <c r="CL105" s="163"/>
    </row>
    <row r="106" spans="1:90">
      <c r="A106" s="93">
        <f>ROWS($A$3:A104)</f>
        <v>102</v>
      </c>
      <c r="B106" s="63"/>
      <c r="C106" s="243"/>
      <c r="D106" s="314"/>
      <c r="E106" s="333"/>
      <c r="F106" s="194"/>
      <c r="G106" s="195"/>
      <c r="H106" s="195"/>
      <c r="I106" s="196"/>
      <c r="J106" s="195"/>
      <c r="K106" s="197">
        <f t="shared" si="219"/>
        <v>0</v>
      </c>
      <c r="L106" s="147">
        <f t="shared" si="220"/>
        <v>0</v>
      </c>
      <c r="M106" s="147">
        <f t="shared" si="221"/>
        <v>0</v>
      </c>
      <c r="N106" s="147">
        <f t="shared" si="222"/>
        <v>0</v>
      </c>
      <c r="O106" s="147">
        <f t="shared" si="223"/>
        <v>0</v>
      </c>
      <c r="P106" s="147">
        <f>'2001'!AZ106+'2001'!BA106</f>
        <v>0</v>
      </c>
      <c r="Q106" s="147">
        <f>'2001'!AU106</f>
        <v>0</v>
      </c>
      <c r="R106" s="147">
        <f t="shared" si="224"/>
        <v>0</v>
      </c>
      <c r="S106" s="147">
        <f t="shared" si="225"/>
        <v>0</v>
      </c>
      <c r="T106" s="147">
        <f t="shared" si="226"/>
        <v>0</v>
      </c>
      <c r="U106" s="145">
        <f t="shared" si="226"/>
        <v>0</v>
      </c>
      <c r="V106" s="147">
        <f t="shared" si="227"/>
        <v>0</v>
      </c>
      <c r="W106" s="147">
        <f t="shared" si="228"/>
        <v>0</v>
      </c>
      <c r="X106" s="147">
        <f t="shared" si="229"/>
        <v>0</v>
      </c>
      <c r="Y106" s="147">
        <f t="shared" si="230"/>
        <v>0</v>
      </c>
      <c r="Z106" s="147">
        <f t="shared" si="231"/>
        <v>0</v>
      </c>
      <c r="AA106" s="147">
        <f t="shared" si="232"/>
        <v>0</v>
      </c>
      <c r="AB106" s="145">
        <f t="shared" si="233"/>
        <v>0</v>
      </c>
      <c r="AC106" s="147">
        <f t="shared" si="234"/>
        <v>0</v>
      </c>
      <c r="AD106" s="147">
        <f t="shared" si="235"/>
        <v>0</v>
      </c>
      <c r="AE106" s="147">
        <f t="shared" si="236"/>
        <v>0</v>
      </c>
      <c r="AF106" s="147">
        <f t="shared" si="237"/>
        <v>0</v>
      </c>
      <c r="AG106" s="147">
        <f t="shared" si="238"/>
        <v>0</v>
      </c>
      <c r="AH106" s="147">
        <f t="shared" si="239"/>
        <v>0</v>
      </c>
      <c r="AI106" s="147">
        <f t="shared" si="240"/>
        <v>0</v>
      </c>
      <c r="AJ106" s="147">
        <f t="shared" si="241"/>
        <v>0</v>
      </c>
      <c r="AK106" s="145">
        <f t="shared" si="242"/>
        <v>0</v>
      </c>
      <c r="AL106" s="147">
        <f t="shared" si="243"/>
        <v>0</v>
      </c>
      <c r="AM106" s="147">
        <f t="shared" si="244"/>
        <v>0</v>
      </c>
      <c r="AN106" s="147">
        <f t="shared" si="245"/>
        <v>0</v>
      </c>
      <c r="AO106" s="147">
        <f t="shared" si="246"/>
        <v>0</v>
      </c>
      <c r="AP106" s="147">
        <f t="shared" si="246"/>
        <v>0</v>
      </c>
      <c r="AQ106" s="147">
        <f t="shared" si="247"/>
        <v>0</v>
      </c>
      <c r="AR106" s="147">
        <f t="shared" si="248"/>
        <v>0</v>
      </c>
      <c r="AS106" s="198">
        <f t="shared" si="249"/>
        <v>0</v>
      </c>
      <c r="AT106" s="147">
        <v>0</v>
      </c>
      <c r="AU106" s="147"/>
      <c r="AV106" s="147"/>
      <c r="AW106" s="147"/>
      <c r="AX106" s="147"/>
      <c r="AY106" s="147"/>
      <c r="AZ106" s="147"/>
      <c r="BA106" s="147"/>
      <c r="BB106" s="147"/>
      <c r="BC106" s="147"/>
      <c r="BD106" s="147"/>
      <c r="BE106" s="147"/>
      <c r="BF106" s="145"/>
      <c r="BG106" s="199"/>
      <c r="BH106" s="147"/>
      <c r="BI106" s="147"/>
      <c r="BJ106" s="147"/>
      <c r="BK106" s="147"/>
      <c r="BL106" s="147"/>
      <c r="BM106" s="147"/>
      <c r="BN106" s="147"/>
      <c r="BO106" s="199"/>
      <c r="BP106" s="147"/>
      <c r="BQ106" s="147"/>
      <c r="BR106" s="145"/>
      <c r="BS106" s="199"/>
      <c r="BT106" s="147"/>
      <c r="BU106" s="147"/>
      <c r="BV106" s="147"/>
      <c r="BW106" s="147"/>
      <c r="BX106" s="147"/>
      <c r="BY106" s="147"/>
      <c r="BZ106" s="147"/>
      <c r="CA106" s="147"/>
      <c r="CB106" s="145"/>
      <c r="CC106" s="147"/>
      <c r="CD106" s="147"/>
      <c r="CE106" s="147"/>
      <c r="CF106" s="147"/>
      <c r="CG106" s="147"/>
      <c r="CH106" s="147"/>
      <c r="CI106" s="147"/>
      <c r="CJ106" s="147"/>
      <c r="CK106" s="198"/>
      <c r="CL106" s="163"/>
    </row>
    <row r="107" spans="1:90" ht="13.5" thickBot="1">
      <c r="A107" s="93">
        <f>ROWS($A$3:A105)</f>
        <v>103</v>
      </c>
      <c r="B107" s="64"/>
      <c r="C107" s="246"/>
      <c r="D107" s="338"/>
      <c r="E107" s="339"/>
      <c r="F107" s="200"/>
      <c r="G107" s="201"/>
      <c r="H107" s="201"/>
      <c r="I107" s="202"/>
      <c r="J107" s="201"/>
      <c r="K107" s="203">
        <f t="shared" si="219"/>
        <v>0</v>
      </c>
      <c r="L107" s="204">
        <f t="shared" si="220"/>
        <v>0</v>
      </c>
      <c r="M107" s="204">
        <f t="shared" si="221"/>
        <v>0</v>
      </c>
      <c r="N107" s="204">
        <f t="shared" si="222"/>
        <v>0</v>
      </c>
      <c r="O107" s="204">
        <f t="shared" si="223"/>
        <v>0</v>
      </c>
      <c r="P107" s="204">
        <f>'2001'!AZ107+'2001'!BA107</f>
        <v>0</v>
      </c>
      <c r="Q107" s="204">
        <f>'2001'!AU107</f>
        <v>0</v>
      </c>
      <c r="R107" s="204">
        <f t="shared" si="224"/>
        <v>0</v>
      </c>
      <c r="S107" s="204">
        <f t="shared" si="225"/>
        <v>0</v>
      </c>
      <c r="T107" s="204">
        <f t="shared" si="226"/>
        <v>0</v>
      </c>
      <c r="U107" s="149">
        <f t="shared" si="226"/>
        <v>0</v>
      </c>
      <c r="V107" s="204">
        <f t="shared" si="227"/>
        <v>0</v>
      </c>
      <c r="W107" s="204">
        <f t="shared" si="228"/>
        <v>0</v>
      </c>
      <c r="X107" s="204">
        <f t="shared" si="229"/>
        <v>0</v>
      </c>
      <c r="Y107" s="204">
        <f t="shared" si="230"/>
        <v>0</v>
      </c>
      <c r="Z107" s="204">
        <f t="shared" si="231"/>
        <v>0</v>
      </c>
      <c r="AA107" s="204">
        <f t="shared" si="232"/>
        <v>0</v>
      </c>
      <c r="AB107" s="149">
        <f t="shared" si="233"/>
        <v>0</v>
      </c>
      <c r="AC107" s="204">
        <f t="shared" si="234"/>
        <v>0</v>
      </c>
      <c r="AD107" s="204">
        <f t="shared" si="235"/>
        <v>0</v>
      </c>
      <c r="AE107" s="204">
        <f t="shared" si="236"/>
        <v>0</v>
      </c>
      <c r="AF107" s="204">
        <f t="shared" si="237"/>
        <v>0</v>
      </c>
      <c r="AG107" s="204">
        <f t="shared" si="238"/>
        <v>0</v>
      </c>
      <c r="AH107" s="204">
        <f t="shared" si="239"/>
        <v>0</v>
      </c>
      <c r="AI107" s="204">
        <f t="shared" si="240"/>
        <v>0</v>
      </c>
      <c r="AJ107" s="204">
        <f t="shared" si="241"/>
        <v>0</v>
      </c>
      <c r="AK107" s="149">
        <f t="shared" si="242"/>
        <v>0</v>
      </c>
      <c r="AL107" s="204">
        <f t="shared" si="243"/>
        <v>0</v>
      </c>
      <c r="AM107" s="204">
        <f t="shared" si="244"/>
        <v>0</v>
      </c>
      <c r="AN107" s="204">
        <f t="shared" si="245"/>
        <v>0</v>
      </c>
      <c r="AO107" s="204">
        <f t="shared" si="246"/>
        <v>0</v>
      </c>
      <c r="AP107" s="204">
        <f t="shared" si="246"/>
        <v>0</v>
      </c>
      <c r="AQ107" s="204">
        <f t="shared" si="247"/>
        <v>0</v>
      </c>
      <c r="AR107" s="204">
        <f t="shared" si="248"/>
        <v>0</v>
      </c>
      <c r="AS107" s="205">
        <f t="shared" si="249"/>
        <v>0</v>
      </c>
      <c r="AT107" s="204">
        <v>0</v>
      </c>
      <c r="AU107" s="204"/>
      <c r="AV107" s="204"/>
      <c r="AW107" s="204"/>
      <c r="AX107" s="204"/>
      <c r="AY107" s="204"/>
      <c r="AZ107" s="204"/>
      <c r="BA107" s="204"/>
      <c r="BB107" s="204"/>
      <c r="BC107" s="204"/>
      <c r="BD107" s="204"/>
      <c r="BE107" s="204"/>
      <c r="BF107" s="149"/>
      <c r="BG107" s="206"/>
      <c r="BH107" s="204"/>
      <c r="BI107" s="204"/>
      <c r="BJ107" s="204"/>
      <c r="BK107" s="204"/>
      <c r="BL107" s="204"/>
      <c r="BM107" s="204"/>
      <c r="BN107" s="204"/>
      <c r="BO107" s="206"/>
      <c r="BP107" s="204"/>
      <c r="BQ107" s="204"/>
      <c r="BR107" s="149"/>
      <c r="BS107" s="206"/>
      <c r="BT107" s="204"/>
      <c r="BU107" s="204"/>
      <c r="BV107" s="204"/>
      <c r="BW107" s="204"/>
      <c r="BX107" s="204"/>
      <c r="BY107" s="204"/>
      <c r="BZ107" s="204"/>
      <c r="CA107" s="204"/>
      <c r="CB107" s="149"/>
      <c r="CC107" s="204"/>
      <c r="CD107" s="204"/>
      <c r="CE107" s="204"/>
      <c r="CF107" s="204"/>
      <c r="CG107" s="204"/>
      <c r="CH107" s="204"/>
      <c r="CI107" s="204"/>
      <c r="CJ107" s="204"/>
      <c r="CK107" s="205"/>
      <c r="CL107" s="164"/>
    </row>
    <row r="108" spans="1:90">
      <c r="B108" s="65"/>
      <c r="C108" s="243"/>
      <c r="D108" s="55"/>
      <c r="E108" s="80"/>
      <c r="F108" s="195"/>
      <c r="G108" s="195"/>
      <c r="H108" s="195"/>
      <c r="I108" s="195"/>
      <c r="J108" s="195"/>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99"/>
      <c r="BH108" s="147"/>
      <c r="BI108" s="147"/>
      <c r="BJ108" s="147"/>
      <c r="BK108" s="147"/>
      <c r="BL108" s="147"/>
      <c r="BM108" s="147"/>
      <c r="BN108" s="147"/>
      <c r="BO108" s="199"/>
      <c r="BP108" s="147"/>
      <c r="BQ108" s="147"/>
      <c r="BR108" s="147"/>
      <c r="BS108" s="199"/>
      <c r="BT108" s="147"/>
      <c r="BU108" s="147"/>
      <c r="BV108" s="147"/>
      <c r="BW108" s="147"/>
      <c r="BX108" s="147"/>
      <c r="BY108" s="147"/>
      <c r="BZ108" s="147"/>
      <c r="CA108" s="147"/>
      <c r="CB108" s="147"/>
      <c r="CC108" s="147"/>
      <c r="CD108" s="147"/>
      <c r="CE108" s="147"/>
      <c r="CF108" s="147"/>
      <c r="CG108" s="147"/>
      <c r="CH108" s="147"/>
      <c r="CI108" s="147"/>
      <c r="CJ108" s="147"/>
      <c r="CK108" s="147"/>
      <c r="CL108" s="165"/>
    </row>
    <row r="109" spans="1:90">
      <c r="B109" s="83" t="s">
        <v>225</v>
      </c>
    </row>
    <row r="110" spans="1:90">
      <c r="B110" s="85" t="s">
        <v>220</v>
      </c>
    </row>
    <row r="111" spans="1:90">
      <c r="B111" s="85" t="s">
        <v>221</v>
      </c>
    </row>
    <row r="112" spans="1:90">
      <c r="B112" s="85" t="s">
        <v>222</v>
      </c>
    </row>
    <row r="113" spans="1:90">
      <c r="B113" s="84"/>
    </row>
    <row r="114" spans="1:90">
      <c r="B114" s="85" t="s">
        <v>83</v>
      </c>
    </row>
    <row r="115" spans="1:90">
      <c r="B115" s="85" t="s">
        <v>223</v>
      </c>
    </row>
    <row r="116" spans="1:90">
      <c r="B116" s="85" t="s">
        <v>228</v>
      </c>
    </row>
    <row r="118" spans="1:90" s="80" customFormat="1" ht="11.25">
      <c r="A118" s="413"/>
      <c r="B118" s="414" t="s">
        <v>66</v>
      </c>
      <c r="C118" s="406"/>
      <c r="D118" s="415" t="s">
        <v>12</v>
      </c>
      <c r="E118" s="416"/>
      <c r="F118" s="407">
        <v>39222</v>
      </c>
      <c r="G118" s="407">
        <v>17145</v>
      </c>
      <c r="H118" s="407">
        <v>31481</v>
      </c>
      <c r="I118" s="407">
        <v>25320</v>
      </c>
      <c r="J118" s="408"/>
      <c r="K118" s="407">
        <f>BF118</f>
        <v>4169</v>
      </c>
      <c r="L118" s="407">
        <f>AY118</f>
        <v>4151</v>
      </c>
      <c r="M118" s="407">
        <f>BD118</f>
        <v>3083</v>
      </c>
      <c r="N118" s="407">
        <f>AW118</f>
        <v>1799</v>
      </c>
      <c r="O118" s="407">
        <f>BE118</f>
        <v>1225</v>
      </c>
      <c r="P118" s="407">
        <f>AZ118+BA118</f>
        <v>6451</v>
      </c>
      <c r="Q118" s="407">
        <f>'2001'!AU118</f>
        <v>1978</v>
      </c>
      <c r="R118" s="407">
        <f>AT118+AX118</f>
        <v>6896</v>
      </c>
      <c r="S118" s="407">
        <f>AV118</f>
        <v>2773</v>
      </c>
      <c r="T118" s="407">
        <f>BB118</f>
        <v>2772</v>
      </c>
      <c r="U118" s="407">
        <f>BC118</f>
        <v>3926</v>
      </c>
      <c r="V118" s="407">
        <f>BG118+BJ118</f>
        <v>2662</v>
      </c>
      <c r="W118" s="407">
        <f>BR118</f>
        <v>1618</v>
      </c>
      <c r="X118" s="407">
        <f>BH118+BI118</f>
        <v>3423</v>
      </c>
      <c r="Y118" s="407">
        <f>BK118+BL118+BN118</f>
        <v>4134</v>
      </c>
      <c r="Z118" s="407">
        <f>BM118</f>
        <v>1984</v>
      </c>
      <c r="AA118" s="407">
        <f>BO118+BQ118</f>
        <v>1641</v>
      </c>
      <c r="AB118" s="407">
        <f>BP118</f>
        <v>1684</v>
      </c>
      <c r="AC118" s="407">
        <f>BX118</f>
        <v>2235</v>
      </c>
      <c r="AD118" s="407">
        <f>BU118</f>
        <v>3382</v>
      </c>
      <c r="AE118" s="407">
        <f>BS118+BT118</f>
        <v>6970</v>
      </c>
      <c r="AF118" s="407">
        <f>CA118</f>
        <v>2453</v>
      </c>
      <c r="AG118" s="407">
        <f>BV118</f>
        <v>7891</v>
      </c>
      <c r="AH118" s="407">
        <f>BZ118</f>
        <v>2889</v>
      </c>
      <c r="AI118" s="407">
        <f>BW118</f>
        <v>1827</v>
      </c>
      <c r="AJ118" s="407">
        <f>BY118</f>
        <v>1065</v>
      </c>
      <c r="AK118" s="407">
        <f>CB118</f>
        <v>2769</v>
      </c>
      <c r="AL118" s="407">
        <f>CE118</f>
        <v>1982</v>
      </c>
      <c r="AM118" s="407">
        <f>CH118</f>
        <v>3707</v>
      </c>
      <c r="AN118" s="407">
        <f>CJ118</f>
        <v>5040</v>
      </c>
      <c r="AO118" s="407">
        <f>CC118</f>
        <v>2992</v>
      </c>
      <c r="AP118" s="407">
        <f>CD118</f>
        <v>1346</v>
      </c>
      <c r="AQ118" s="407">
        <f>CK118</f>
        <v>2771</v>
      </c>
      <c r="AR118" s="407">
        <f>CI118</f>
        <v>3531</v>
      </c>
      <c r="AS118" s="407">
        <f>CF118+CG118</f>
        <v>3951</v>
      </c>
      <c r="AT118" s="408">
        <v>1928</v>
      </c>
      <c r="AU118" s="408">
        <v>1978</v>
      </c>
      <c r="AV118" s="408">
        <v>2773</v>
      </c>
      <c r="AW118" s="408">
        <v>1799</v>
      </c>
      <c r="AX118" s="408">
        <v>4968</v>
      </c>
      <c r="AY118" s="407">
        <v>4151</v>
      </c>
      <c r="AZ118" s="407">
        <v>679</v>
      </c>
      <c r="BA118" s="407">
        <v>5772</v>
      </c>
      <c r="BB118" s="407">
        <v>2772</v>
      </c>
      <c r="BC118" s="407">
        <v>3926</v>
      </c>
      <c r="BD118" s="407">
        <v>3083</v>
      </c>
      <c r="BE118" s="407">
        <v>1225</v>
      </c>
      <c r="BF118" s="407">
        <v>4169</v>
      </c>
      <c r="BG118" s="407">
        <v>656</v>
      </c>
      <c r="BH118" s="407">
        <v>607</v>
      </c>
      <c r="BI118" s="407">
        <v>2816</v>
      </c>
      <c r="BJ118" s="407">
        <v>2006</v>
      </c>
      <c r="BK118" s="407">
        <v>457</v>
      </c>
      <c r="BL118" s="407">
        <v>728</v>
      </c>
      <c r="BM118" s="407">
        <v>1984</v>
      </c>
      <c r="BN118" s="407">
        <v>2949</v>
      </c>
      <c r="BO118" s="407">
        <v>339</v>
      </c>
      <c r="BP118" s="407">
        <v>1684</v>
      </c>
      <c r="BQ118" s="407">
        <v>1302</v>
      </c>
      <c r="BR118" s="407">
        <v>1618</v>
      </c>
      <c r="BS118" s="407">
        <v>736</v>
      </c>
      <c r="BT118" s="407">
        <v>6234</v>
      </c>
      <c r="BU118" s="407">
        <v>3382</v>
      </c>
      <c r="BV118" s="407">
        <v>7891</v>
      </c>
      <c r="BW118" s="407">
        <v>1827</v>
      </c>
      <c r="BX118" s="407">
        <v>2235</v>
      </c>
      <c r="BY118" s="407">
        <v>1065</v>
      </c>
      <c r="BZ118" s="407">
        <v>2889</v>
      </c>
      <c r="CA118" s="407">
        <v>2453</v>
      </c>
      <c r="CB118" s="407">
        <v>2769</v>
      </c>
      <c r="CC118" s="407">
        <v>2992</v>
      </c>
      <c r="CD118" s="407">
        <v>1346</v>
      </c>
      <c r="CE118" s="407">
        <v>1982</v>
      </c>
      <c r="CF118" s="407">
        <v>484</v>
      </c>
      <c r="CG118" s="407">
        <v>3467</v>
      </c>
      <c r="CH118" s="407">
        <v>3707</v>
      </c>
      <c r="CI118" s="407">
        <v>3531</v>
      </c>
      <c r="CJ118" s="407">
        <v>5040</v>
      </c>
      <c r="CK118" s="407">
        <v>2771</v>
      </c>
      <c r="CL118" s="407">
        <v>113168</v>
      </c>
    </row>
    <row r="119" spans="1:90" s="80" customFormat="1" ht="11.25">
      <c r="A119" s="413"/>
      <c r="B119" s="417" t="s">
        <v>305</v>
      </c>
      <c r="C119" s="409"/>
      <c r="D119" s="415" t="s">
        <v>3</v>
      </c>
      <c r="E119" s="415"/>
      <c r="F119" s="410">
        <v>1.0529999999999999</v>
      </c>
      <c r="G119" s="410">
        <v>0.46899999999999997</v>
      </c>
      <c r="H119" s="410">
        <v>0.65800000000000003</v>
      </c>
      <c r="I119" s="410">
        <v>0.67</v>
      </c>
      <c r="J119" s="410"/>
      <c r="K119" s="412">
        <f>BF119</f>
        <v>0.121</v>
      </c>
      <c r="L119" s="410">
        <f>AY119</f>
        <v>9.2999999999999999E-2</v>
      </c>
      <c r="M119" s="410">
        <f>BD119</f>
        <v>9.1999999999999998E-2</v>
      </c>
      <c r="N119" s="410">
        <f>AW119</f>
        <v>4.5999999999999999E-2</v>
      </c>
      <c r="O119" s="410">
        <f>BE119</f>
        <v>4.3999999999999997E-2</v>
      </c>
      <c r="P119" s="411">
        <f>AZ119+BA119</f>
        <v>0.156</v>
      </c>
      <c r="Q119" s="412"/>
      <c r="R119" s="411">
        <f>AT119+AX119</f>
        <v>0.16800000000000001</v>
      </c>
      <c r="S119" s="410">
        <f>AV119</f>
        <v>6.6000000000000003E-2</v>
      </c>
      <c r="T119" s="410">
        <f>BB119</f>
        <v>8.5999999999999993E-2</v>
      </c>
      <c r="U119" s="412">
        <f>BC119</f>
        <v>0.13400000000000001</v>
      </c>
      <c r="V119" s="411">
        <f>BG119+BJ119</f>
        <v>5.4999999999999993E-2</v>
      </c>
      <c r="W119" s="410">
        <f>BR119</f>
        <v>0.04</v>
      </c>
      <c r="X119" s="411">
        <f>BH119+BI119</f>
        <v>9.0999999999999998E-2</v>
      </c>
      <c r="Y119" s="411">
        <f>BK119+BL119+BN119</f>
        <v>0.129</v>
      </c>
      <c r="Z119" s="410">
        <f>BM119</f>
        <v>6.2E-2</v>
      </c>
      <c r="AA119" s="411">
        <f>BO119+BQ119</f>
        <v>4.4000000000000004E-2</v>
      </c>
      <c r="AB119" s="412">
        <f>BP119</f>
        <v>4.9000000000000002E-2</v>
      </c>
      <c r="AC119" s="410">
        <f>BX119</f>
        <v>5.2999999999999999E-2</v>
      </c>
      <c r="AD119" s="410">
        <f>BU119</f>
        <v>5.6000000000000001E-2</v>
      </c>
      <c r="AE119" s="411">
        <f>BS119+BT119</f>
        <v>0.14299999999999999</v>
      </c>
      <c r="AF119" s="410">
        <f>CA119</f>
        <v>4.2999999999999997E-2</v>
      </c>
      <c r="AG119" s="410">
        <f>BV119</f>
        <v>0.14499999999999999</v>
      </c>
      <c r="AH119" s="410">
        <f>BZ119</f>
        <v>9.2999999999999999E-2</v>
      </c>
      <c r="AI119" s="410">
        <f>BW119</f>
        <v>4.2000000000000003E-2</v>
      </c>
      <c r="AJ119" s="410">
        <f>BY119</f>
        <v>3.2000000000000001E-2</v>
      </c>
      <c r="AK119" s="412">
        <f>CB119</f>
        <v>0.05</v>
      </c>
      <c r="AL119" s="410">
        <f>CE119</f>
        <v>4.2000000000000003E-2</v>
      </c>
      <c r="AM119" s="410">
        <f>CH119</f>
        <v>0.11600000000000001</v>
      </c>
      <c r="AN119" s="410">
        <f>CJ119</f>
        <v>0.152</v>
      </c>
      <c r="AO119" s="410">
        <f>CC119</f>
        <v>6.3E-2</v>
      </c>
      <c r="AP119" s="410">
        <f>CD119</f>
        <v>3.1E-2</v>
      </c>
      <c r="AQ119" s="410">
        <f>CK119</f>
        <v>6.9000000000000006E-2</v>
      </c>
      <c r="AR119" s="410">
        <f>CI119</f>
        <v>8.7999999999999995E-2</v>
      </c>
      <c r="AS119" s="411">
        <f>CF119+CG119</f>
        <v>0.109</v>
      </c>
      <c r="AT119" s="410">
        <v>5.1999999999999998E-2</v>
      </c>
      <c r="AU119" s="410">
        <v>4.8000000000000001E-2</v>
      </c>
      <c r="AV119" s="410">
        <v>6.6000000000000003E-2</v>
      </c>
      <c r="AW119" s="410">
        <v>4.5999999999999999E-2</v>
      </c>
      <c r="AX119" s="410">
        <v>0.11600000000000001</v>
      </c>
      <c r="AY119" s="410">
        <v>9.2999999999999999E-2</v>
      </c>
      <c r="AZ119" s="410">
        <v>2.1999999999999999E-2</v>
      </c>
      <c r="BA119" s="410">
        <v>0.13400000000000001</v>
      </c>
      <c r="BB119" s="410">
        <v>8.5999999999999993E-2</v>
      </c>
      <c r="BC119" s="410">
        <v>0.13400000000000001</v>
      </c>
      <c r="BD119" s="410">
        <v>9.1999999999999998E-2</v>
      </c>
      <c r="BE119" s="410">
        <v>4.3999999999999997E-2</v>
      </c>
      <c r="BF119" s="410">
        <v>0.121</v>
      </c>
      <c r="BG119" s="410">
        <v>1.2E-2</v>
      </c>
      <c r="BH119" s="410">
        <v>1.7999999999999999E-2</v>
      </c>
      <c r="BI119" s="410">
        <v>7.2999999999999995E-2</v>
      </c>
      <c r="BJ119" s="410">
        <v>4.2999999999999997E-2</v>
      </c>
      <c r="BK119" s="410">
        <v>1.6E-2</v>
      </c>
      <c r="BL119" s="410">
        <v>2.4E-2</v>
      </c>
      <c r="BM119" s="410">
        <v>6.2E-2</v>
      </c>
      <c r="BN119" s="410">
        <v>8.8999999999999996E-2</v>
      </c>
      <c r="BO119" s="410">
        <v>0.01</v>
      </c>
      <c r="BP119" s="410">
        <v>4.9000000000000002E-2</v>
      </c>
      <c r="BQ119" s="410">
        <v>3.4000000000000002E-2</v>
      </c>
      <c r="BR119" s="410">
        <v>0.04</v>
      </c>
      <c r="BS119" s="410">
        <v>2.1999999999999999E-2</v>
      </c>
      <c r="BT119" s="410">
        <v>0.121</v>
      </c>
      <c r="BU119" s="410">
        <v>5.6000000000000001E-2</v>
      </c>
      <c r="BV119" s="410">
        <v>0.14499999999999999</v>
      </c>
      <c r="BW119" s="410">
        <v>4.2000000000000003E-2</v>
      </c>
      <c r="BX119" s="410">
        <v>5.2999999999999999E-2</v>
      </c>
      <c r="BY119" s="410">
        <v>3.2000000000000001E-2</v>
      </c>
      <c r="BZ119" s="410">
        <v>9.2999999999999999E-2</v>
      </c>
      <c r="CA119" s="410">
        <v>4.2999999999999997E-2</v>
      </c>
      <c r="CB119" s="410">
        <v>0.05</v>
      </c>
      <c r="CC119" s="410">
        <v>6.3E-2</v>
      </c>
      <c r="CD119" s="410">
        <v>3.1E-2</v>
      </c>
      <c r="CE119" s="410">
        <v>4.2000000000000003E-2</v>
      </c>
      <c r="CF119" s="410">
        <v>1.4999999999999999E-2</v>
      </c>
      <c r="CG119" s="410">
        <v>9.4E-2</v>
      </c>
      <c r="CH119" s="410">
        <v>0.11600000000000001</v>
      </c>
      <c r="CI119" s="410">
        <v>8.7999999999999995E-2</v>
      </c>
      <c r="CJ119" s="410">
        <v>0.152</v>
      </c>
      <c r="CK119" s="410">
        <v>6.9000000000000006E-2</v>
      </c>
      <c r="CL119" s="410">
        <v>2.85</v>
      </c>
    </row>
    <row r="120" spans="1:90" s="80" customFormat="1" ht="11.25">
      <c r="B120" s="414" t="s">
        <v>58</v>
      </c>
      <c r="C120" s="406">
        <v>2010</v>
      </c>
      <c r="D120" s="80" t="s">
        <v>14</v>
      </c>
      <c r="E120" s="418">
        <v>40441</v>
      </c>
      <c r="F120" s="407">
        <v>586</v>
      </c>
      <c r="G120" s="407">
        <v>290</v>
      </c>
      <c r="H120" s="407">
        <v>242</v>
      </c>
      <c r="I120" s="407">
        <v>334</v>
      </c>
      <c r="J120" s="407"/>
      <c r="K120" s="407">
        <v>56</v>
      </c>
      <c r="L120" s="407">
        <v>61</v>
      </c>
      <c r="M120" s="407">
        <v>14</v>
      </c>
      <c r="N120" s="407">
        <v>36</v>
      </c>
      <c r="O120" s="407">
        <v>75</v>
      </c>
      <c r="P120" s="407">
        <v>66</v>
      </c>
      <c r="Q120" s="407">
        <v>41</v>
      </c>
      <c r="R120" s="407">
        <v>97</v>
      </c>
      <c r="S120" s="407">
        <v>53</v>
      </c>
      <c r="T120" s="407">
        <v>19</v>
      </c>
      <c r="U120" s="407">
        <v>71</v>
      </c>
      <c r="V120" s="407">
        <v>32</v>
      </c>
      <c r="W120" s="407">
        <v>41</v>
      </c>
      <c r="X120" s="407">
        <v>81</v>
      </c>
      <c r="Y120" s="407">
        <v>56</v>
      </c>
      <c r="Z120" s="407">
        <v>26</v>
      </c>
      <c r="AA120" s="407">
        <v>44</v>
      </c>
      <c r="AB120" s="407">
        <v>21</v>
      </c>
      <c r="AC120" s="407">
        <v>24</v>
      </c>
      <c r="AD120" s="407">
        <v>20</v>
      </c>
      <c r="AE120" s="407">
        <v>42</v>
      </c>
      <c r="AF120" s="407">
        <v>19</v>
      </c>
      <c r="AG120" s="407">
        <v>23</v>
      </c>
      <c r="AH120" s="407">
        <v>16</v>
      </c>
      <c r="AI120" s="407">
        <v>40</v>
      </c>
      <c r="AJ120" s="407">
        <v>39</v>
      </c>
      <c r="AK120" s="407">
        <v>25</v>
      </c>
      <c r="AL120" s="407">
        <v>18</v>
      </c>
      <c r="AM120" s="407">
        <v>34</v>
      </c>
      <c r="AN120" s="407">
        <v>53</v>
      </c>
      <c r="AO120" s="407">
        <v>95</v>
      </c>
      <c r="AP120" s="407">
        <v>21</v>
      </c>
      <c r="AQ120" s="407">
        <v>28</v>
      </c>
      <c r="AR120" s="407">
        <v>27</v>
      </c>
      <c r="AS120" s="407">
        <v>59</v>
      </c>
      <c r="AT120" s="407"/>
      <c r="AU120" s="407">
        <v>41</v>
      </c>
      <c r="AV120" s="407">
        <v>53</v>
      </c>
      <c r="AW120" s="407">
        <v>36</v>
      </c>
      <c r="AX120" s="407">
        <v>70</v>
      </c>
      <c r="AY120" s="407">
        <v>61</v>
      </c>
      <c r="AZ120" s="407">
        <v>15</v>
      </c>
      <c r="BA120" s="407">
        <v>51</v>
      </c>
      <c r="BB120" s="407">
        <v>19</v>
      </c>
      <c r="BC120" s="407">
        <v>71</v>
      </c>
      <c r="BD120" s="407">
        <v>14</v>
      </c>
      <c r="BE120" s="407">
        <v>75</v>
      </c>
      <c r="BF120" s="407">
        <v>56</v>
      </c>
      <c r="BG120" s="407">
        <v>5</v>
      </c>
      <c r="BH120" s="407">
        <v>19</v>
      </c>
      <c r="BI120" s="407">
        <v>62</v>
      </c>
      <c r="BJ120" s="407">
        <v>27</v>
      </c>
      <c r="BK120" s="407">
        <v>2</v>
      </c>
      <c r="BL120" s="407">
        <v>16</v>
      </c>
      <c r="BM120" s="407">
        <v>26</v>
      </c>
      <c r="BN120" s="407">
        <v>38</v>
      </c>
      <c r="BO120" s="407">
        <v>5</v>
      </c>
      <c r="BP120" s="407">
        <v>21</v>
      </c>
      <c r="BQ120" s="407">
        <v>39</v>
      </c>
      <c r="BR120" s="407">
        <v>41</v>
      </c>
      <c r="BS120" s="407">
        <v>8</v>
      </c>
      <c r="BT120" s="407">
        <v>34</v>
      </c>
      <c r="BU120" s="407">
        <v>20</v>
      </c>
      <c r="BV120" s="407">
        <v>23</v>
      </c>
      <c r="BW120" s="407">
        <v>40</v>
      </c>
      <c r="BX120" s="407">
        <v>24</v>
      </c>
      <c r="BY120" s="407">
        <v>39</v>
      </c>
      <c r="BZ120" s="407">
        <v>16</v>
      </c>
      <c r="CA120" s="407">
        <v>19</v>
      </c>
      <c r="CB120" s="407">
        <v>25</v>
      </c>
      <c r="CC120" s="407">
        <v>95</v>
      </c>
      <c r="CD120" s="407">
        <v>21</v>
      </c>
      <c r="CE120" s="407">
        <v>18</v>
      </c>
      <c r="CF120" s="407">
        <v>12</v>
      </c>
      <c r="CG120" s="407">
        <v>47</v>
      </c>
      <c r="CH120" s="407">
        <v>34</v>
      </c>
      <c r="CI120" s="407">
        <v>27</v>
      </c>
      <c r="CJ120" s="407">
        <v>53</v>
      </c>
      <c r="CK120" s="407">
        <v>28</v>
      </c>
      <c r="CL120" s="407">
        <v>1452</v>
      </c>
    </row>
    <row r="121" spans="1:90" s="80" customFormat="1" ht="11.25">
      <c r="B121" s="414"/>
      <c r="C121" s="406"/>
      <c r="D121" s="80" t="s">
        <v>1</v>
      </c>
      <c r="F121" s="407">
        <v>232107.36</v>
      </c>
      <c r="G121" s="407">
        <v>184654.69</v>
      </c>
      <c r="H121" s="407">
        <v>174810.37</v>
      </c>
      <c r="I121" s="407">
        <v>202711.95</v>
      </c>
      <c r="J121" s="407"/>
      <c r="K121" s="407">
        <v>18203.28</v>
      </c>
      <c r="L121" s="407">
        <v>29257.74</v>
      </c>
      <c r="M121" s="407">
        <v>26747.8</v>
      </c>
      <c r="N121" s="407">
        <v>15760.74</v>
      </c>
      <c r="O121" s="407">
        <v>7776.37</v>
      </c>
      <c r="P121" s="407">
        <v>14670.77</v>
      </c>
      <c r="Q121" s="407">
        <v>20995.78</v>
      </c>
      <c r="R121" s="407">
        <v>33590.68</v>
      </c>
      <c r="S121" s="407">
        <v>28171.93</v>
      </c>
      <c r="T121" s="407">
        <v>12926.83</v>
      </c>
      <c r="U121" s="407">
        <v>24005.43</v>
      </c>
      <c r="V121" s="407">
        <v>31773.06</v>
      </c>
      <c r="W121" s="407">
        <v>11941.64</v>
      </c>
      <c r="X121" s="407">
        <v>32421.03</v>
      </c>
      <c r="Y121" s="407">
        <v>49804.35</v>
      </c>
      <c r="Z121" s="407">
        <v>15546.89</v>
      </c>
      <c r="AA121" s="407">
        <v>18158.240000000002</v>
      </c>
      <c r="AB121" s="407">
        <v>25000.47</v>
      </c>
      <c r="AC121" s="407">
        <v>8787.24</v>
      </c>
      <c r="AD121" s="407">
        <v>10687.19</v>
      </c>
      <c r="AE121" s="407">
        <v>72340.58</v>
      </c>
      <c r="AF121" s="407">
        <v>5894.01</v>
      </c>
      <c r="AG121" s="407">
        <v>14323.86</v>
      </c>
      <c r="AH121" s="407">
        <v>20871.22</v>
      </c>
      <c r="AI121" s="407">
        <v>6983.96</v>
      </c>
      <c r="AJ121" s="407">
        <v>7057.98</v>
      </c>
      <c r="AK121" s="407">
        <v>27864.33</v>
      </c>
      <c r="AL121" s="407">
        <v>31057.48</v>
      </c>
      <c r="AM121" s="407">
        <v>29330.19</v>
      </c>
      <c r="AN121" s="407">
        <v>29782.37</v>
      </c>
      <c r="AO121" s="407">
        <v>24341.94</v>
      </c>
      <c r="AP121" s="407">
        <v>20088.61</v>
      </c>
      <c r="AQ121" s="407">
        <v>10922.03</v>
      </c>
      <c r="AR121" s="407">
        <v>9362.69</v>
      </c>
      <c r="AS121" s="407">
        <v>47826.65</v>
      </c>
      <c r="AT121" s="407"/>
      <c r="AU121" s="407">
        <v>20995.78</v>
      </c>
      <c r="AV121" s="407">
        <v>28171.93</v>
      </c>
      <c r="AW121" s="407">
        <v>15760.74</v>
      </c>
      <c r="AX121" s="407">
        <v>26900.82</v>
      </c>
      <c r="AY121" s="407">
        <v>29257.74</v>
      </c>
      <c r="AZ121" s="407">
        <v>2301.91</v>
      </c>
      <c r="BA121" s="407">
        <v>12368.86</v>
      </c>
      <c r="BB121" s="407">
        <v>12926.83</v>
      </c>
      <c r="BC121" s="407">
        <v>24005.43</v>
      </c>
      <c r="BD121" s="407">
        <v>26747.8</v>
      </c>
      <c r="BE121" s="407">
        <v>7776.37</v>
      </c>
      <c r="BF121" s="407">
        <v>18203.28</v>
      </c>
      <c r="BG121" s="407">
        <v>8855.68</v>
      </c>
      <c r="BH121" s="407">
        <v>5712.45</v>
      </c>
      <c r="BI121" s="407">
        <v>26708.58</v>
      </c>
      <c r="BJ121" s="407">
        <v>22917.38</v>
      </c>
      <c r="BK121" s="407">
        <v>4996</v>
      </c>
      <c r="BL121" s="407">
        <v>4092.46</v>
      </c>
      <c r="BM121" s="407">
        <v>15546.89</v>
      </c>
      <c r="BN121" s="407">
        <v>40715.89</v>
      </c>
      <c r="BO121" s="407">
        <v>5897.54</v>
      </c>
      <c r="BP121" s="407">
        <v>25000.47</v>
      </c>
      <c r="BQ121" s="407">
        <v>12260.7</v>
      </c>
      <c r="BR121" s="407">
        <v>11941.64</v>
      </c>
      <c r="BS121" s="407">
        <v>6992.51</v>
      </c>
      <c r="BT121" s="407">
        <v>65348.07</v>
      </c>
      <c r="BU121" s="407">
        <v>10687.19</v>
      </c>
      <c r="BV121" s="407">
        <v>14323.86</v>
      </c>
      <c r="BW121" s="407">
        <v>6983.96</v>
      </c>
      <c r="BX121" s="407">
        <v>8787.24</v>
      </c>
      <c r="BY121" s="407">
        <v>7057.98</v>
      </c>
      <c r="BZ121" s="407">
        <v>20871.22</v>
      </c>
      <c r="CA121" s="407">
        <v>5894.01</v>
      </c>
      <c r="CB121" s="407">
        <v>27864.33</v>
      </c>
      <c r="CC121" s="407">
        <v>24341.94</v>
      </c>
      <c r="CD121" s="407">
        <v>20088.61</v>
      </c>
      <c r="CE121" s="407">
        <v>31057.48</v>
      </c>
      <c r="CF121" s="407">
        <v>3508.14</v>
      </c>
      <c r="CG121" s="407">
        <v>44318.51</v>
      </c>
      <c r="CH121" s="407">
        <v>29330.19</v>
      </c>
      <c r="CI121" s="407">
        <v>9362.69</v>
      </c>
      <c r="CJ121" s="407">
        <v>29782.37</v>
      </c>
      <c r="CK121" s="407">
        <v>10922.03</v>
      </c>
      <c r="CL121" s="407">
        <v>813936.7</v>
      </c>
    </row>
    <row r="122" spans="1:90" s="80" customFormat="1" ht="11.25">
      <c r="B122" s="414" t="s">
        <v>211</v>
      </c>
      <c r="C122" s="406">
        <v>2010</v>
      </c>
      <c r="D122" s="80" t="s">
        <v>14</v>
      </c>
      <c r="E122" s="418">
        <v>40441</v>
      </c>
      <c r="F122" s="407">
        <v>4143</v>
      </c>
      <c r="G122" s="407">
        <v>308</v>
      </c>
      <c r="H122" s="407">
        <v>509</v>
      </c>
      <c r="I122" s="407">
        <v>1271</v>
      </c>
      <c r="J122" s="407"/>
      <c r="K122" s="407">
        <v>398</v>
      </c>
      <c r="L122" s="407">
        <v>596</v>
      </c>
      <c r="M122" s="407">
        <v>282</v>
      </c>
      <c r="N122" s="407">
        <v>246</v>
      </c>
      <c r="O122" s="407">
        <v>239</v>
      </c>
      <c r="P122" s="407">
        <v>184</v>
      </c>
      <c r="Q122" s="407">
        <v>396</v>
      </c>
      <c r="R122" s="407">
        <v>538</v>
      </c>
      <c r="S122" s="407">
        <v>404</v>
      </c>
      <c r="T122" s="407">
        <v>132</v>
      </c>
      <c r="U122" s="407">
        <v>732</v>
      </c>
      <c r="V122" s="407">
        <v>40</v>
      </c>
      <c r="W122" s="407">
        <v>16</v>
      </c>
      <c r="X122" s="407">
        <v>155</v>
      </c>
      <c r="Y122" s="407">
        <v>61</v>
      </c>
      <c r="Z122" s="407">
        <v>23</v>
      </c>
      <c r="AA122" s="407">
        <v>16</v>
      </c>
      <c r="AB122" s="407" t="s">
        <v>61</v>
      </c>
      <c r="AC122" s="407">
        <v>48</v>
      </c>
      <c r="AD122" s="407">
        <v>21</v>
      </c>
      <c r="AE122" s="407">
        <v>55</v>
      </c>
      <c r="AF122" s="407">
        <v>38</v>
      </c>
      <c r="AG122" s="407">
        <v>98</v>
      </c>
      <c r="AH122" s="407">
        <v>68</v>
      </c>
      <c r="AI122" s="407">
        <v>21</v>
      </c>
      <c r="AJ122" s="407">
        <v>81</v>
      </c>
      <c r="AK122" s="407">
        <v>79</v>
      </c>
      <c r="AL122" s="407">
        <v>29</v>
      </c>
      <c r="AM122" s="407">
        <v>7</v>
      </c>
      <c r="AN122" s="407">
        <v>493</v>
      </c>
      <c r="AO122" s="407">
        <v>203</v>
      </c>
      <c r="AP122" s="407">
        <v>17</v>
      </c>
      <c r="AQ122" s="407">
        <v>124</v>
      </c>
      <c r="AR122" s="407">
        <v>28</v>
      </c>
      <c r="AS122" s="407">
        <v>371</v>
      </c>
      <c r="AT122" s="407"/>
      <c r="AU122" s="407">
        <v>396</v>
      </c>
      <c r="AV122" s="407">
        <v>404</v>
      </c>
      <c r="AW122" s="407">
        <v>246</v>
      </c>
      <c r="AX122" s="407">
        <v>526</v>
      </c>
      <c r="AY122" s="407">
        <v>596</v>
      </c>
      <c r="AZ122" s="407">
        <v>8</v>
      </c>
      <c r="BA122" s="407">
        <v>176</v>
      </c>
      <c r="BB122" s="407">
        <v>132</v>
      </c>
      <c r="BC122" s="407">
        <v>732</v>
      </c>
      <c r="BD122" s="407">
        <v>282</v>
      </c>
      <c r="BE122" s="407">
        <v>239</v>
      </c>
      <c r="BF122" s="407">
        <v>398</v>
      </c>
      <c r="BG122" s="407">
        <v>9</v>
      </c>
      <c r="BH122" s="407">
        <v>3</v>
      </c>
      <c r="BI122" s="407">
        <v>152</v>
      </c>
      <c r="BJ122" s="407">
        <v>31</v>
      </c>
      <c r="BK122" s="407">
        <v>9</v>
      </c>
      <c r="BL122" s="407">
        <v>2</v>
      </c>
      <c r="BM122" s="407">
        <v>23</v>
      </c>
      <c r="BN122" s="407">
        <v>50</v>
      </c>
      <c r="BO122" s="407">
        <v>1</v>
      </c>
      <c r="BP122" s="407" t="s">
        <v>61</v>
      </c>
      <c r="BQ122" s="407">
        <v>15</v>
      </c>
      <c r="BR122" s="407">
        <v>16</v>
      </c>
      <c r="BS122" s="407">
        <v>7</v>
      </c>
      <c r="BT122" s="407">
        <v>48</v>
      </c>
      <c r="BU122" s="407">
        <v>21</v>
      </c>
      <c r="BV122" s="407">
        <v>98</v>
      </c>
      <c r="BW122" s="407">
        <v>21</v>
      </c>
      <c r="BX122" s="407">
        <v>48</v>
      </c>
      <c r="BY122" s="407">
        <v>81</v>
      </c>
      <c r="BZ122" s="407">
        <v>68</v>
      </c>
      <c r="CA122" s="407">
        <v>38</v>
      </c>
      <c r="CB122" s="407">
        <v>79</v>
      </c>
      <c r="CC122" s="407">
        <v>203</v>
      </c>
      <c r="CD122" s="407">
        <v>17</v>
      </c>
      <c r="CE122" s="407">
        <v>29</v>
      </c>
      <c r="CF122" s="407">
        <v>9</v>
      </c>
      <c r="CG122" s="407">
        <v>362</v>
      </c>
      <c r="CH122" s="407">
        <v>7</v>
      </c>
      <c r="CI122" s="407">
        <v>28</v>
      </c>
      <c r="CJ122" s="407">
        <v>493</v>
      </c>
      <c r="CK122" s="407">
        <v>124</v>
      </c>
      <c r="CL122" s="407">
        <v>6231</v>
      </c>
    </row>
    <row r="123" spans="1:90" s="80" customFormat="1" ht="11.25">
      <c r="B123" s="414"/>
      <c r="C123" s="406"/>
      <c r="D123" s="80" t="s">
        <v>1</v>
      </c>
      <c r="F123" s="407">
        <v>4170.09</v>
      </c>
      <c r="G123" s="407">
        <v>541.74</v>
      </c>
      <c r="H123" s="407">
        <v>587.17999999999995</v>
      </c>
      <c r="I123" s="407">
        <v>1151.67</v>
      </c>
      <c r="J123" s="407"/>
      <c r="K123" s="407">
        <v>359.48</v>
      </c>
      <c r="L123" s="407">
        <v>528.95000000000005</v>
      </c>
      <c r="M123" s="407">
        <v>290.68</v>
      </c>
      <c r="N123" s="407">
        <v>310.51</v>
      </c>
      <c r="O123" s="407">
        <v>119.56</v>
      </c>
      <c r="P123" s="407">
        <v>180.21</v>
      </c>
      <c r="Q123" s="407">
        <v>604.95000000000005</v>
      </c>
      <c r="R123" s="407">
        <v>582.64</v>
      </c>
      <c r="S123" s="407">
        <v>556.91</v>
      </c>
      <c r="T123" s="407">
        <v>74.989999999999995</v>
      </c>
      <c r="U123" s="407">
        <v>561.22</v>
      </c>
      <c r="V123" s="407">
        <v>79.45</v>
      </c>
      <c r="W123" s="407">
        <v>39.14</v>
      </c>
      <c r="X123" s="407">
        <v>280.74</v>
      </c>
      <c r="Y123" s="407">
        <v>77.97</v>
      </c>
      <c r="Z123" s="407">
        <v>54.51</v>
      </c>
      <c r="AA123" s="407">
        <v>9.93</v>
      </c>
      <c r="AB123" s="407" t="s">
        <v>61</v>
      </c>
      <c r="AC123" s="407">
        <v>65.58</v>
      </c>
      <c r="AD123" s="407">
        <v>29.81</v>
      </c>
      <c r="AE123" s="407">
        <v>68.790000000000006</v>
      </c>
      <c r="AF123" s="407">
        <v>36.619999999999997</v>
      </c>
      <c r="AG123" s="407">
        <v>45.79</v>
      </c>
      <c r="AH123" s="407">
        <v>151.69</v>
      </c>
      <c r="AI123" s="407">
        <v>42.2</v>
      </c>
      <c r="AJ123" s="407">
        <v>77.03</v>
      </c>
      <c r="AK123" s="407">
        <v>69.67</v>
      </c>
      <c r="AL123" s="407">
        <v>65.63</v>
      </c>
      <c r="AM123" s="407">
        <v>10.07</v>
      </c>
      <c r="AN123" s="407">
        <v>440.02</v>
      </c>
      <c r="AO123" s="407">
        <v>198.6</v>
      </c>
      <c r="AP123" s="407">
        <v>28.92</v>
      </c>
      <c r="AQ123" s="407">
        <v>42.68</v>
      </c>
      <c r="AR123" s="407">
        <v>40.46</v>
      </c>
      <c r="AS123" s="407">
        <v>325.3</v>
      </c>
      <c r="AT123" s="407"/>
      <c r="AU123" s="407">
        <v>604.95000000000005</v>
      </c>
      <c r="AV123" s="407">
        <v>556.91</v>
      </c>
      <c r="AW123" s="407">
        <v>310.51</v>
      </c>
      <c r="AX123" s="407">
        <v>578.1</v>
      </c>
      <c r="AY123" s="407">
        <v>528.95000000000005</v>
      </c>
      <c r="AZ123" s="407">
        <v>11.52</v>
      </c>
      <c r="BA123" s="407">
        <v>168.69</v>
      </c>
      <c r="BB123" s="407">
        <v>74.989999999999995</v>
      </c>
      <c r="BC123" s="407">
        <v>561.22</v>
      </c>
      <c r="BD123" s="407">
        <v>290.68</v>
      </c>
      <c r="BE123" s="407">
        <v>119.56</v>
      </c>
      <c r="BF123" s="407">
        <v>359.48</v>
      </c>
      <c r="BG123" s="407">
        <v>19.5</v>
      </c>
      <c r="BH123" s="407">
        <v>3.6</v>
      </c>
      <c r="BI123" s="407">
        <v>277.14</v>
      </c>
      <c r="BJ123" s="407">
        <v>59.95</v>
      </c>
      <c r="BK123" s="407">
        <v>16.16</v>
      </c>
      <c r="BL123" s="407">
        <v>1.1599999999999999</v>
      </c>
      <c r="BM123" s="407">
        <v>54.51</v>
      </c>
      <c r="BN123" s="407">
        <v>60.65</v>
      </c>
      <c r="BO123" s="407">
        <v>3.9</v>
      </c>
      <c r="BP123" s="407" t="s">
        <v>61</v>
      </c>
      <c r="BQ123" s="407">
        <v>6.03</v>
      </c>
      <c r="BR123" s="407">
        <v>39.14</v>
      </c>
      <c r="BS123" s="407">
        <v>6.83</v>
      </c>
      <c r="BT123" s="407">
        <v>61.96</v>
      </c>
      <c r="BU123" s="407">
        <v>29.81</v>
      </c>
      <c r="BV123" s="407">
        <v>45.79</v>
      </c>
      <c r="BW123" s="407">
        <v>42.2</v>
      </c>
      <c r="BX123" s="407">
        <v>65.58</v>
      </c>
      <c r="BY123" s="407">
        <v>77.03</v>
      </c>
      <c r="BZ123" s="407">
        <v>151.69</v>
      </c>
      <c r="CA123" s="407">
        <v>36.619999999999997</v>
      </c>
      <c r="CB123" s="407">
        <v>69.67</v>
      </c>
      <c r="CC123" s="407">
        <v>198.6</v>
      </c>
      <c r="CD123" s="407">
        <v>28.92</v>
      </c>
      <c r="CE123" s="407">
        <v>65.63</v>
      </c>
      <c r="CF123" s="407">
        <v>19.27</v>
      </c>
      <c r="CG123" s="407">
        <v>306.02999999999997</v>
      </c>
      <c r="CH123" s="407">
        <v>10.07</v>
      </c>
      <c r="CI123" s="407">
        <v>40.46</v>
      </c>
      <c r="CJ123" s="407">
        <v>440.02</v>
      </c>
      <c r="CK123" s="407">
        <v>42.68</v>
      </c>
      <c r="CL123" s="407">
        <v>6476.71</v>
      </c>
    </row>
    <row r="124" spans="1:90" s="80" customFormat="1" ht="11.25">
      <c r="B124" s="414" t="s">
        <v>254</v>
      </c>
      <c r="C124" s="406">
        <v>2010</v>
      </c>
      <c r="D124" s="80" t="s">
        <v>14</v>
      </c>
      <c r="E124" s="418">
        <v>40648</v>
      </c>
      <c r="F124" s="407">
        <v>3148</v>
      </c>
      <c r="G124" s="407">
        <v>681</v>
      </c>
      <c r="H124" s="407">
        <v>2722</v>
      </c>
      <c r="I124" s="407">
        <v>4220</v>
      </c>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07"/>
      <c r="AO124" s="407"/>
      <c r="AP124" s="407"/>
      <c r="AQ124" s="407"/>
      <c r="AR124" s="407"/>
      <c r="AS124" s="407"/>
      <c r="AT124" s="407"/>
      <c r="AU124" s="407">
        <v>89</v>
      </c>
      <c r="AV124" s="407">
        <v>96</v>
      </c>
      <c r="AW124" s="407">
        <v>309</v>
      </c>
      <c r="AX124" s="407">
        <v>140</v>
      </c>
      <c r="AY124" s="407">
        <v>242</v>
      </c>
      <c r="AZ124" s="407">
        <v>4</v>
      </c>
      <c r="BA124" s="407">
        <v>125</v>
      </c>
      <c r="BB124" s="407">
        <v>226</v>
      </c>
      <c r="BC124" s="407">
        <v>693</v>
      </c>
      <c r="BD124" s="407">
        <v>254</v>
      </c>
      <c r="BE124" s="407">
        <v>210</v>
      </c>
      <c r="BF124" s="407">
        <v>746</v>
      </c>
      <c r="BG124" s="407" t="s">
        <v>61</v>
      </c>
      <c r="BH124" s="407" t="s">
        <v>252</v>
      </c>
      <c r="BI124" s="407">
        <v>31</v>
      </c>
      <c r="BJ124" s="407">
        <v>19</v>
      </c>
      <c r="BK124" s="407" t="s">
        <v>252</v>
      </c>
      <c r="BL124" s="407" t="s">
        <v>252</v>
      </c>
      <c r="BM124" s="407">
        <v>213</v>
      </c>
      <c r="BN124" s="407">
        <v>90</v>
      </c>
      <c r="BO124" s="407" t="s">
        <v>252</v>
      </c>
      <c r="BP124" s="407">
        <v>123</v>
      </c>
      <c r="BQ124" s="407">
        <v>65</v>
      </c>
      <c r="BR124" s="407">
        <v>130</v>
      </c>
      <c r="BS124" s="407">
        <v>5</v>
      </c>
      <c r="BT124" s="407">
        <v>443</v>
      </c>
      <c r="BU124" s="407">
        <v>183</v>
      </c>
      <c r="BV124" s="407">
        <v>479</v>
      </c>
      <c r="BW124" s="407">
        <v>221</v>
      </c>
      <c r="BX124" s="407">
        <v>466</v>
      </c>
      <c r="BY124" s="407">
        <v>139</v>
      </c>
      <c r="BZ124" s="407">
        <v>233</v>
      </c>
      <c r="CA124" s="407">
        <v>182</v>
      </c>
      <c r="CB124" s="407">
        <v>371</v>
      </c>
      <c r="CC124" s="407">
        <v>247</v>
      </c>
      <c r="CD124" s="407">
        <v>40</v>
      </c>
      <c r="CE124" s="407">
        <v>82</v>
      </c>
      <c r="CF124" s="407">
        <v>21</v>
      </c>
      <c r="CG124" s="407">
        <v>569</v>
      </c>
      <c r="CH124" s="407">
        <v>886</v>
      </c>
      <c r="CI124" s="407">
        <v>338</v>
      </c>
      <c r="CJ124" s="407">
        <v>1662</v>
      </c>
      <c r="CK124" s="407">
        <v>375</v>
      </c>
      <c r="CL124" s="407">
        <v>10771</v>
      </c>
    </row>
    <row r="125" spans="1:90" s="80" customFormat="1" ht="11.25">
      <c r="B125" s="414" t="s">
        <v>255</v>
      </c>
      <c r="C125" s="406">
        <v>2001</v>
      </c>
      <c r="D125" s="80" t="s">
        <v>14</v>
      </c>
      <c r="E125" s="418">
        <v>40652</v>
      </c>
      <c r="F125" s="407">
        <f>6290-2941</f>
        <v>3349</v>
      </c>
      <c r="G125" s="407">
        <f>1787-311</f>
        <v>1476</v>
      </c>
      <c r="H125" s="407">
        <f>5450-868</f>
        <v>4582</v>
      </c>
      <c r="I125" s="407">
        <f>5614-2059</f>
        <v>3555</v>
      </c>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07"/>
      <c r="AO125" s="407"/>
      <c r="AP125" s="407"/>
      <c r="AQ125" s="407"/>
      <c r="AR125" s="407"/>
      <c r="AS125" s="407"/>
      <c r="AT125" s="407">
        <v>6</v>
      </c>
      <c r="AU125" s="407">
        <f>184-47</f>
        <v>137</v>
      </c>
      <c r="AV125" s="407">
        <f>146-10</f>
        <v>136</v>
      </c>
      <c r="AW125" s="407">
        <f>285-89</f>
        <v>196</v>
      </c>
      <c r="AX125" s="407">
        <f>242-68</f>
        <v>174</v>
      </c>
      <c r="AY125" s="407">
        <f>303-57</f>
        <v>246</v>
      </c>
      <c r="AZ125" s="407">
        <v>3</v>
      </c>
      <c r="BA125" s="407">
        <v>222</v>
      </c>
      <c r="BB125" s="407">
        <f>752-451</f>
        <v>301</v>
      </c>
      <c r="BC125" s="407">
        <f>1721-1148</f>
        <v>573</v>
      </c>
      <c r="BD125" s="407">
        <f>975-479</f>
        <v>496</v>
      </c>
      <c r="BE125" s="407">
        <f>345-133</f>
        <v>212</v>
      </c>
      <c r="BF125" s="407">
        <f>1002-355</f>
        <v>647</v>
      </c>
      <c r="BG125" s="407">
        <v>4</v>
      </c>
      <c r="BH125" s="407">
        <v>8</v>
      </c>
      <c r="BI125" s="407">
        <f>191-35</f>
        <v>156</v>
      </c>
      <c r="BJ125" s="407">
        <v>78</v>
      </c>
      <c r="BK125" s="407">
        <v>15</v>
      </c>
      <c r="BL125" s="407">
        <v>16</v>
      </c>
      <c r="BM125" s="407">
        <f>523-109</f>
        <v>414</v>
      </c>
      <c r="BN125" s="407">
        <f>282-73</f>
        <v>209</v>
      </c>
      <c r="BO125" s="407">
        <v>5</v>
      </c>
      <c r="BP125" s="407">
        <f>254-25</f>
        <v>229</v>
      </c>
      <c r="BQ125" s="407">
        <f>128-16</f>
        <v>112</v>
      </c>
      <c r="BR125" s="407">
        <f>263-33</f>
        <v>230</v>
      </c>
      <c r="BS125" s="407">
        <v>22</v>
      </c>
      <c r="BT125" s="407">
        <f>755-117</f>
        <v>638</v>
      </c>
      <c r="BU125" s="407">
        <f>540-95</f>
        <v>445</v>
      </c>
      <c r="BV125" s="407">
        <f>1476-253</f>
        <v>1223</v>
      </c>
      <c r="BW125" s="407">
        <f>582-75</f>
        <v>507</v>
      </c>
      <c r="BX125" s="407">
        <f>579-117</f>
        <v>462</v>
      </c>
      <c r="BY125" s="407">
        <f>254-36</f>
        <v>218</v>
      </c>
      <c r="BZ125" s="407">
        <f>324-69</f>
        <v>255</v>
      </c>
      <c r="CA125" s="407">
        <f>302-21</f>
        <v>281</v>
      </c>
      <c r="CB125" s="407">
        <f>612-81</f>
        <v>531</v>
      </c>
      <c r="CC125" s="407">
        <f>595-126</f>
        <v>469</v>
      </c>
      <c r="CD125" s="407">
        <f>180-29</f>
        <v>151</v>
      </c>
      <c r="CE125" s="407">
        <f>236-32</f>
        <v>204</v>
      </c>
      <c r="CF125" s="407">
        <f>63-27</f>
        <v>36</v>
      </c>
      <c r="CG125" s="407">
        <f>1521-727</f>
        <v>794</v>
      </c>
      <c r="CH125" s="407">
        <f>1150-491</f>
        <v>659</v>
      </c>
      <c r="CI125" s="407">
        <f>312-68</f>
        <v>244</v>
      </c>
      <c r="CJ125" s="407">
        <f>614-237</f>
        <v>377</v>
      </c>
      <c r="CK125" s="407">
        <f>943-322</f>
        <v>621</v>
      </c>
      <c r="CL125" s="407">
        <f>19141-6179</f>
        <v>12962</v>
      </c>
    </row>
    <row r="126" spans="1:90" s="80" customFormat="1" ht="11.25">
      <c r="B126" s="414" t="s">
        <v>256</v>
      </c>
      <c r="C126" s="406">
        <v>2001</v>
      </c>
      <c r="D126" s="80" t="s">
        <v>14</v>
      </c>
      <c r="E126" s="418">
        <v>40652</v>
      </c>
      <c r="F126" s="407">
        <v>269314</v>
      </c>
      <c r="G126" s="407">
        <v>51869</v>
      </c>
      <c r="H126" s="407">
        <v>75431</v>
      </c>
      <c r="I126" s="407">
        <v>226471</v>
      </c>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07"/>
      <c r="AO126" s="407"/>
      <c r="AP126" s="407"/>
      <c r="AQ126" s="407"/>
      <c r="AR126" s="407"/>
      <c r="AS126" s="407"/>
      <c r="AT126" s="407">
        <v>281</v>
      </c>
      <c r="AU126" s="407">
        <v>8753</v>
      </c>
      <c r="AV126" s="407">
        <v>3510</v>
      </c>
      <c r="AW126" s="407">
        <v>9892</v>
      </c>
      <c r="AX126" s="407">
        <v>19205</v>
      </c>
      <c r="AY126" s="407">
        <v>8003</v>
      </c>
      <c r="AZ126" s="407">
        <v>796</v>
      </c>
      <c r="BA126" s="407">
        <v>16625</v>
      </c>
      <c r="BB126" s="407">
        <v>43594</v>
      </c>
      <c r="BC126" s="407">
        <v>88604</v>
      </c>
      <c r="BD126" s="407">
        <v>28116</v>
      </c>
      <c r="BE126" s="407">
        <v>17760</v>
      </c>
      <c r="BF126" s="407">
        <v>24175</v>
      </c>
      <c r="BG126" s="407" t="s">
        <v>252</v>
      </c>
      <c r="BH126" s="407">
        <v>634</v>
      </c>
      <c r="BI126" s="407">
        <v>6255</v>
      </c>
      <c r="BJ126" s="407">
        <v>3413</v>
      </c>
      <c r="BK126" s="407">
        <v>817</v>
      </c>
      <c r="BL126" s="407">
        <v>1106</v>
      </c>
      <c r="BM126" s="407">
        <v>14691</v>
      </c>
      <c r="BN126" s="407">
        <v>11980</v>
      </c>
      <c r="BO126" s="407" t="s">
        <v>252</v>
      </c>
      <c r="BP126" s="407">
        <v>3246</v>
      </c>
      <c r="BQ126" s="407">
        <v>4162</v>
      </c>
      <c r="BR126" s="407">
        <v>5176</v>
      </c>
      <c r="BS126" s="407">
        <v>281</v>
      </c>
      <c r="BT126" s="407">
        <v>5396</v>
      </c>
      <c r="BU126" s="407">
        <v>4183</v>
      </c>
      <c r="BV126" s="407">
        <v>14519</v>
      </c>
      <c r="BW126" s="407">
        <v>14970</v>
      </c>
      <c r="BX126" s="407">
        <v>9248</v>
      </c>
      <c r="BY126" s="407">
        <v>5554</v>
      </c>
      <c r="BZ126" s="407">
        <v>11590</v>
      </c>
      <c r="CA126" s="407">
        <v>3473</v>
      </c>
      <c r="CB126" s="407">
        <v>6217</v>
      </c>
      <c r="CC126" s="407">
        <v>11320</v>
      </c>
      <c r="CD126" s="407">
        <v>5515</v>
      </c>
      <c r="CE126" s="407">
        <v>6208</v>
      </c>
      <c r="CF126" s="407">
        <v>7262</v>
      </c>
      <c r="CG126" s="407">
        <v>77976</v>
      </c>
      <c r="CH126" s="407">
        <v>52455</v>
      </c>
      <c r="CI126" s="407">
        <v>11074</v>
      </c>
      <c r="CJ126" s="407">
        <v>20829</v>
      </c>
      <c r="CK126" s="407">
        <v>33832</v>
      </c>
      <c r="CL126" s="407">
        <v>623085</v>
      </c>
    </row>
    <row r="127" spans="1:90" s="80" customFormat="1" ht="11.25">
      <c r="B127" s="414" t="s">
        <v>278</v>
      </c>
      <c r="C127" s="406">
        <v>1991</v>
      </c>
      <c r="D127" s="80" t="s">
        <v>14</v>
      </c>
      <c r="E127" s="418">
        <v>40694</v>
      </c>
      <c r="F127" s="407">
        <f>35614-4168-5038-5588</f>
        <v>20820</v>
      </c>
      <c r="G127" s="407">
        <f>15599-1702-3491-3585</f>
        <v>6821</v>
      </c>
      <c r="H127" s="407">
        <f>32550-3860-5508-7332</f>
        <v>15850</v>
      </c>
      <c r="I127" s="407">
        <f>27487-861-3110-4420</f>
        <v>19096</v>
      </c>
      <c r="J127" s="407"/>
      <c r="K127" s="419">
        <f>BF127</f>
        <v>3304</v>
      </c>
      <c r="L127" s="419">
        <f>AY127</f>
        <v>1471</v>
      </c>
      <c r="M127" s="419">
        <f>BD127</f>
        <v>2747</v>
      </c>
      <c r="N127" s="419">
        <f>AW127</f>
        <v>1189</v>
      </c>
      <c r="O127" s="419">
        <f>BE127</f>
        <v>918</v>
      </c>
      <c r="P127" s="419">
        <f>'2001'!AZ127+'2001'!BA127</f>
        <v>2473</v>
      </c>
      <c r="Q127" s="419">
        <f>'2001'!AU127</f>
        <v>879</v>
      </c>
      <c r="R127" s="419">
        <f>AT127+AX127</f>
        <v>1496</v>
      </c>
      <c r="S127" s="419">
        <f>AV127</f>
        <v>836</v>
      </c>
      <c r="T127" s="419">
        <f>BB127</f>
        <v>1946</v>
      </c>
      <c r="U127" s="419">
        <f>BC127</f>
        <v>3561</v>
      </c>
      <c r="V127" s="419">
        <f>BG127+BJ127</f>
        <v>412</v>
      </c>
      <c r="W127" s="419">
        <f>BR127</f>
        <v>872</v>
      </c>
      <c r="X127" s="419">
        <f>BH127+BI127</f>
        <v>1004</v>
      </c>
      <c r="Y127" s="419">
        <f>BK127+BL127+BN127</f>
        <v>1426</v>
      </c>
      <c r="Z127" s="419">
        <f>BM127</f>
        <v>1720</v>
      </c>
      <c r="AA127" s="419">
        <f>BO127+BQ127</f>
        <v>588</v>
      </c>
      <c r="AB127" s="419">
        <f>BP127</f>
        <v>799</v>
      </c>
      <c r="AC127" s="419">
        <f>BX127</f>
        <v>1710</v>
      </c>
      <c r="AD127" s="419">
        <f>BU127</f>
        <v>1283</v>
      </c>
      <c r="AE127" s="419">
        <f>BS127+BT127</f>
        <v>2641</v>
      </c>
      <c r="AF127" s="419">
        <f>CA127</f>
        <v>1279</v>
      </c>
      <c r="AG127" s="419">
        <f>BV127</f>
        <v>3191</v>
      </c>
      <c r="AH127" s="419">
        <f>BZ127</f>
        <v>1360</v>
      </c>
      <c r="AI127" s="419">
        <f>BW127</f>
        <v>1420</v>
      </c>
      <c r="AJ127" s="419">
        <f>BY127</f>
        <v>904</v>
      </c>
      <c r="AK127" s="419">
        <f>CB127</f>
        <v>2062</v>
      </c>
      <c r="AL127" s="419">
        <f>CE127</f>
        <v>1207</v>
      </c>
      <c r="AM127" s="419">
        <f>CH127</f>
        <v>3480</v>
      </c>
      <c r="AN127" s="419">
        <f>CJ127</f>
        <v>4145</v>
      </c>
      <c r="AO127" s="419">
        <f>CC127</f>
        <v>1717</v>
      </c>
      <c r="AP127" s="419">
        <f>CD127</f>
        <v>662</v>
      </c>
      <c r="AQ127" s="419">
        <f>CK127</f>
        <v>2473</v>
      </c>
      <c r="AR127" s="419">
        <f>CI127</f>
        <v>1905</v>
      </c>
      <c r="AS127" s="419">
        <f>CF127+CG127</f>
        <v>3507</v>
      </c>
      <c r="AT127" s="407">
        <f>430-140-66-109</f>
        <v>115</v>
      </c>
      <c r="AU127" s="407">
        <f>1732-117-329-407</f>
        <v>879</v>
      </c>
      <c r="AV127" s="407">
        <f>2197-267-584-510</f>
        <v>836</v>
      </c>
      <c r="AW127" s="407">
        <f>1740-95-213-243</f>
        <v>1189</v>
      </c>
      <c r="AX127" s="407">
        <f>3087-881-475-350</f>
        <v>1381</v>
      </c>
      <c r="AY127" s="407">
        <f>3513-494-764-784</f>
        <v>1471</v>
      </c>
      <c r="AZ127" s="407">
        <f>352-54-25-61</f>
        <v>212</v>
      </c>
      <c r="BA127" s="407">
        <f>4903-1269-685-688</f>
        <v>2261</v>
      </c>
      <c r="BB127" s="407">
        <f>2943-245-328-424</f>
        <v>1946</v>
      </c>
      <c r="BC127" s="407">
        <f>4798-128-454-655</f>
        <v>3561</v>
      </c>
      <c r="BD127" s="407">
        <f>4134-285-501-601</f>
        <v>2747</v>
      </c>
      <c r="BE127" s="407">
        <f>1185-62-102-103</f>
        <v>918</v>
      </c>
      <c r="BF127" s="407">
        <f>4600-131-512-653</f>
        <v>3304</v>
      </c>
      <c r="BG127" s="407">
        <f>375-185-101-53</f>
        <v>36</v>
      </c>
      <c r="BH127" s="407">
        <f>198-37-47-33</f>
        <v>81</v>
      </c>
      <c r="BI127" s="407">
        <f>2580-408-708-541</f>
        <v>923</v>
      </c>
      <c r="BJ127" s="407">
        <f>1730-361-570-423</f>
        <v>376</v>
      </c>
      <c r="BK127" s="407">
        <f>148-26-26-29</f>
        <v>67</v>
      </c>
      <c r="BL127" s="407">
        <f>157-35-11-11</f>
        <v>100</v>
      </c>
      <c r="BM127" s="407">
        <f>2629-53-348-508</f>
        <v>1720</v>
      </c>
      <c r="BN127" s="407">
        <f>2295-403-300-333</f>
        <v>1259</v>
      </c>
      <c r="BO127" s="407">
        <f>87-19-21-20</f>
        <v>27</v>
      </c>
      <c r="BP127" s="407">
        <f>1990-44-499-648</f>
        <v>799</v>
      </c>
      <c r="BQ127" s="407">
        <f>1249-85-304-299</f>
        <v>561</v>
      </c>
      <c r="BR127" s="407">
        <f>2161-46-556-687</f>
        <v>872</v>
      </c>
      <c r="BS127" s="407">
        <f>455-125-103-85</f>
        <v>142</v>
      </c>
      <c r="BT127" s="407">
        <f>6083-1520-964-1100</f>
        <v>2499</v>
      </c>
      <c r="BU127" s="407">
        <f>3630-863-706-778</f>
        <v>1283</v>
      </c>
      <c r="BV127" s="407">
        <f>8092-736-1856-2309</f>
        <v>3191</v>
      </c>
      <c r="BW127" s="407">
        <f>2437-42-350-625</f>
        <v>1420</v>
      </c>
      <c r="BX127" s="407">
        <f>2407-26-234-437</f>
        <v>1710</v>
      </c>
      <c r="BY127" s="407">
        <f>1498-29-217-348</f>
        <v>904</v>
      </c>
      <c r="BZ127" s="407">
        <f>2261-214-322-365</f>
        <v>1360</v>
      </c>
      <c r="CA127" s="407">
        <f>2412-240-342-551</f>
        <v>1279</v>
      </c>
      <c r="CB127" s="407">
        <f>3275-65-414-734</f>
        <v>2062</v>
      </c>
      <c r="CC127" s="407">
        <f>2996-110-514-655</f>
        <v>1717</v>
      </c>
      <c r="CD127" s="407">
        <f>1666-61-461-482</f>
        <v>662</v>
      </c>
      <c r="CE127" s="407">
        <f>2552-36-545-764</f>
        <v>1207</v>
      </c>
      <c r="CF127" s="407">
        <f>259-14-18-33</f>
        <v>194</v>
      </c>
      <c r="CG127" s="407">
        <f>4146-99-270-464</f>
        <v>3313</v>
      </c>
      <c r="CH127" s="407">
        <f>4484-130-314-560</f>
        <v>3480</v>
      </c>
      <c r="CI127" s="407">
        <f>2942-181-339-517</f>
        <v>1905</v>
      </c>
      <c r="CJ127" s="407">
        <f>5194-170-349-530</f>
        <v>4145</v>
      </c>
      <c r="CK127" s="407">
        <f>3248-60-300-415</f>
        <v>2473</v>
      </c>
      <c r="CL127" s="407">
        <f>111250-10591-17147-20925</f>
        <v>62587</v>
      </c>
    </row>
  </sheetData>
  <phoneticPr fontId="0" type="noConversion"/>
  <printOptions horizontalCentered="1"/>
  <pageMargins left="0.39370078740157483" right="0.39370078740157483" top="0.59055118110236227" bottom="0.59055118110236227" header="0.51181102362204722" footer="0.39370078740157483"/>
  <pageSetup paperSize="8" scale="85" orientation="portrait" r:id="rId1"/>
  <headerFooter alignWithMargins="0"/>
  <rowBreaks count="1" manualBreakCount="1">
    <brk id="99" min="1" max="8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7"/>
  <sheetViews>
    <sheetView showGridLines="0" zoomScaleNormal="100" workbookViewId="0">
      <pane xSplit="2" ySplit="4" topLeftCell="C5" activePane="bottomRight" state="frozen"/>
      <selection activeCell="C55" sqref="C55"/>
      <selection pane="topRight" activeCell="C55" sqref="C55"/>
      <selection pane="bottomLeft" activeCell="C55" sqref="C55"/>
      <selection pane="bottomRight" activeCell="E106" sqref="E106"/>
    </sheetView>
  </sheetViews>
  <sheetFormatPr baseColWidth="10" defaultRowHeight="12.75"/>
  <cols>
    <col min="1" max="1" width="4" bestFit="1" customWidth="1"/>
    <col min="2" max="2" width="46.140625" style="66" customWidth="1"/>
    <col min="3" max="8" width="7.7109375" style="238" customWidth="1"/>
  </cols>
  <sheetData>
    <row r="1" spans="1:8" ht="13.5" thickBot="1">
      <c r="B1" s="81" t="s">
        <v>198</v>
      </c>
    </row>
    <row r="2" spans="1:8">
      <c r="B2" s="94"/>
    </row>
    <row r="3" spans="1:8">
      <c r="B3" s="97" t="s">
        <v>102</v>
      </c>
    </row>
    <row r="4" spans="1:8">
      <c r="B4" s="97"/>
      <c r="C4" s="238">
        <v>2011</v>
      </c>
      <c r="D4" s="238">
        <v>2010</v>
      </c>
      <c r="E4" s="238">
        <v>2009</v>
      </c>
      <c r="F4" s="238">
        <v>2008</v>
      </c>
      <c r="G4" s="238">
        <v>2007</v>
      </c>
      <c r="H4" s="238">
        <v>2001</v>
      </c>
    </row>
    <row r="5" spans="1:8" ht="13.5" thickBot="1">
      <c r="A5" s="93">
        <f>ROWS($A$3:A3)</f>
        <v>1</v>
      </c>
      <c r="B5" s="132"/>
    </row>
    <row r="6" spans="1:8">
      <c r="A6" s="93">
        <f>ROWS($A$3:A4)</f>
        <v>2</v>
      </c>
      <c r="B6" s="351" t="s">
        <v>108</v>
      </c>
      <c r="C6" s="352"/>
      <c r="D6" s="352"/>
      <c r="E6" s="352"/>
      <c r="F6" s="352"/>
      <c r="G6" s="352"/>
      <c r="H6" s="353"/>
    </row>
    <row r="7" spans="1:8">
      <c r="A7" s="93">
        <f>ROWS($A$3:A5)</f>
        <v>3</v>
      </c>
      <c r="B7" s="106" t="s">
        <v>63</v>
      </c>
      <c r="C7" s="354">
        <v>2010</v>
      </c>
      <c r="D7" s="354" t="s">
        <v>283</v>
      </c>
      <c r="E7" s="354" t="s">
        <v>283</v>
      </c>
      <c r="F7" s="354" t="s">
        <v>283</v>
      </c>
      <c r="G7" s="354" t="s">
        <v>283</v>
      </c>
      <c r="H7" s="355" t="s">
        <v>283</v>
      </c>
    </row>
    <row r="8" spans="1:8" ht="14.25">
      <c r="A8" s="93">
        <f>ROWS($A$3:A6)</f>
        <v>4</v>
      </c>
      <c r="B8" s="106" t="s">
        <v>261</v>
      </c>
      <c r="C8" s="354">
        <v>2010</v>
      </c>
      <c r="D8" s="354" t="s">
        <v>283</v>
      </c>
      <c r="E8" s="354" t="s">
        <v>283</v>
      </c>
      <c r="F8" s="354" t="s">
        <v>283</v>
      </c>
      <c r="G8" s="354" t="s">
        <v>283</v>
      </c>
      <c r="H8" s="355" t="s">
        <v>283</v>
      </c>
    </row>
    <row r="9" spans="1:8">
      <c r="A9" s="93">
        <f>ROWS($A$3:A7)</f>
        <v>5</v>
      </c>
      <c r="B9" s="106" t="s">
        <v>0</v>
      </c>
      <c r="C9" s="354">
        <v>2010</v>
      </c>
      <c r="D9" s="354" t="s">
        <v>283</v>
      </c>
      <c r="E9" s="354" t="s">
        <v>283</v>
      </c>
      <c r="F9" s="354" t="s">
        <v>283</v>
      </c>
      <c r="G9" s="354">
        <v>2004</v>
      </c>
      <c r="H9" s="355" t="s">
        <v>283</v>
      </c>
    </row>
    <row r="10" spans="1:8">
      <c r="A10" s="93">
        <f>ROWS($A$3:A8)</f>
        <v>6</v>
      </c>
      <c r="B10" s="106" t="s">
        <v>216</v>
      </c>
      <c r="C10" s="354">
        <v>2010</v>
      </c>
      <c r="D10" s="354" t="s">
        <v>283</v>
      </c>
      <c r="E10" s="354" t="s">
        <v>283</v>
      </c>
      <c r="F10" s="354" t="s">
        <v>283</v>
      </c>
      <c r="G10" s="354">
        <v>2004</v>
      </c>
      <c r="H10" s="355" t="s">
        <v>283</v>
      </c>
    </row>
    <row r="11" spans="1:8">
      <c r="A11" s="93">
        <f>ROWS($A$3:A9)</f>
        <v>7</v>
      </c>
      <c r="B11" s="106" t="s">
        <v>2</v>
      </c>
      <c r="C11" s="354">
        <v>2010</v>
      </c>
      <c r="D11" s="354" t="s">
        <v>283</v>
      </c>
      <c r="E11" s="354" t="s">
        <v>283</v>
      </c>
      <c r="F11" s="354" t="s">
        <v>283</v>
      </c>
      <c r="G11" s="354">
        <v>2004</v>
      </c>
      <c r="H11" s="355" t="s">
        <v>284</v>
      </c>
    </row>
    <row r="12" spans="1:8">
      <c r="A12" s="93">
        <f>ROWS($A$3:A10)</f>
        <v>8</v>
      </c>
      <c r="B12" s="106" t="s">
        <v>217</v>
      </c>
      <c r="C12" s="354">
        <v>2010</v>
      </c>
      <c r="D12" s="354" t="s">
        <v>283</v>
      </c>
      <c r="E12" s="354" t="s">
        <v>283</v>
      </c>
      <c r="F12" s="354" t="s">
        <v>283</v>
      </c>
      <c r="G12" s="354">
        <v>2004</v>
      </c>
      <c r="H12" s="355" t="s">
        <v>284</v>
      </c>
    </row>
    <row r="13" spans="1:8">
      <c r="A13" s="93">
        <f>ROWS($A$3:A11)</f>
        <v>9</v>
      </c>
      <c r="B13" s="106" t="s">
        <v>69</v>
      </c>
      <c r="C13" s="354">
        <v>2010</v>
      </c>
      <c r="D13" s="354" t="s">
        <v>283</v>
      </c>
      <c r="E13" s="354" t="s">
        <v>283</v>
      </c>
      <c r="F13" s="354" t="s">
        <v>283</v>
      </c>
      <c r="G13" s="354" t="s">
        <v>283</v>
      </c>
      <c r="H13" s="355" t="s">
        <v>283</v>
      </c>
    </row>
    <row r="14" spans="1:8">
      <c r="A14" s="93">
        <f>ROWS($A$3:A12)</f>
        <v>10</v>
      </c>
      <c r="B14" s="62" t="s">
        <v>64</v>
      </c>
      <c r="C14" s="354">
        <v>2010</v>
      </c>
      <c r="D14" s="354" t="s">
        <v>283</v>
      </c>
      <c r="E14" s="354" t="s">
        <v>283</v>
      </c>
      <c r="F14" s="354" t="s">
        <v>283</v>
      </c>
      <c r="G14" s="354" t="s">
        <v>283</v>
      </c>
      <c r="H14" s="355" t="s">
        <v>283</v>
      </c>
    </row>
    <row r="15" spans="1:8">
      <c r="A15" s="93"/>
      <c r="B15" s="67" t="s">
        <v>303</v>
      </c>
      <c r="C15" s="488"/>
      <c r="D15" s="489"/>
      <c r="E15" s="489"/>
      <c r="F15" s="489"/>
      <c r="G15" s="489"/>
      <c r="H15" s="490"/>
    </row>
    <row r="16" spans="1:8">
      <c r="A16" s="93">
        <f>ROWS($A$3:A13)</f>
        <v>11</v>
      </c>
      <c r="B16" s="106" t="s">
        <v>214</v>
      </c>
      <c r="C16" s="354">
        <v>2009</v>
      </c>
      <c r="D16" s="354">
        <v>2009</v>
      </c>
      <c r="E16" s="354" t="s">
        <v>283</v>
      </c>
      <c r="F16" s="354" t="s">
        <v>283</v>
      </c>
      <c r="G16" s="354" t="s">
        <v>283</v>
      </c>
      <c r="H16" s="355" t="s">
        <v>283</v>
      </c>
    </row>
    <row r="17" spans="1:9" ht="14.25">
      <c r="A17" s="93">
        <f>ROWS($A$3:A16)</f>
        <v>14</v>
      </c>
      <c r="B17" s="62" t="s">
        <v>262</v>
      </c>
      <c r="C17" s="354">
        <v>2010</v>
      </c>
      <c r="D17" s="354" t="s">
        <v>283</v>
      </c>
      <c r="E17" s="354" t="s">
        <v>283</v>
      </c>
      <c r="F17" s="354" t="s">
        <v>283</v>
      </c>
      <c r="G17" s="354" t="s">
        <v>283</v>
      </c>
      <c r="H17" s="355" t="s">
        <v>283</v>
      </c>
    </row>
    <row r="18" spans="1:9">
      <c r="A18" s="93"/>
      <c r="B18" s="297" t="s">
        <v>304</v>
      </c>
      <c r="C18" s="354">
        <v>2010</v>
      </c>
      <c r="D18" s="354" t="s">
        <v>283</v>
      </c>
      <c r="E18" s="354">
        <v>2007</v>
      </c>
      <c r="F18" s="354">
        <v>2007</v>
      </c>
      <c r="G18" s="354" t="s">
        <v>283</v>
      </c>
      <c r="H18" s="355">
        <v>2003</v>
      </c>
    </row>
    <row r="19" spans="1:9">
      <c r="A19" s="93"/>
      <c r="B19" s="297" t="s">
        <v>302</v>
      </c>
      <c r="C19" s="354">
        <v>2010</v>
      </c>
      <c r="D19" s="354" t="s">
        <v>283</v>
      </c>
      <c r="E19" s="354" t="s">
        <v>283</v>
      </c>
      <c r="F19" s="354" t="s">
        <v>283</v>
      </c>
      <c r="G19" s="354" t="s">
        <v>283</v>
      </c>
      <c r="H19" s="355" t="s">
        <v>283</v>
      </c>
    </row>
    <row r="20" spans="1:9">
      <c r="A20" s="93">
        <f>ROWS($A$3:A16)</f>
        <v>14</v>
      </c>
      <c r="B20" s="106" t="s">
        <v>68</v>
      </c>
      <c r="C20" s="354">
        <v>2009</v>
      </c>
      <c r="D20" s="354">
        <v>2009</v>
      </c>
      <c r="E20" s="354" t="s">
        <v>283</v>
      </c>
      <c r="F20" s="354" t="s">
        <v>283</v>
      </c>
      <c r="G20" s="354" t="s">
        <v>283</v>
      </c>
      <c r="H20" s="355" t="s">
        <v>283</v>
      </c>
    </row>
    <row r="21" spans="1:9" ht="13.5" thickBot="1">
      <c r="A21" s="93">
        <f>ROWS($A$3:A17)</f>
        <v>15</v>
      </c>
      <c r="B21" s="60" t="s">
        <v>65</v>
      </c>
      <c r="C21" s="357">
        <v>2009</v>
      </c>
      <c r="D21" s="357">
        <v>2009</v>
      </c>
      <c r="E21" s="357" t="s">
        <v>283</v>
      </c>
      <c r="F21" s="357" t="s">
        <v>283</v>
      </c>
      <c r="G21" s="357" t="s">
        <v>283</v>
      </c>
      <c r="H21" s="358" t="s">
        <v>283</v>
      </c>
    </row>
    <row r="22" spans="1:9" ht="13.5" thickBot="1">
      <c r="A22" s="93">
        <f>ROWS($A$3:A20)</f>
        <v>18</v>
      </c>
      <c r="B22" s="61"/>
      <c r="C22" s="359"/>
      <c r="D22" s="359"/>
      <c r="E22" s="359"/>
      <c r="F22" s="359"/>
      <c r="G22" s="359"/>
      <c r="H22" s="359"/>
      <c r="I22" s="56"/>
    </row>
    <row r="23" spans="1:9">
      <c r="A23" s="93">
        <f>ROWS($A$3:A21)</f>
        <v>19</v>
      </c>
      <c r="B23" s="351" t="s">
        <v>70</v>
      </c>
      <c r="C23" s="360"/>
      <c r="D23" s="360"/>
      <c r="E23" s="360"/>
      <c r="F23" s="360"/>
      <c r="G23" s="360"/>
      <c r="H23" s="361"/>
    </row>
    <row r="24" spans="1:9">
      <c r="A24" s="93">
        <f>ROWS($A$3:A22)</f>
        <v>20</v>
      </c>
      <c r="B24" s="59" t="s">
        <v>272</v>
      </c>
      <c r="C24" s="354">
        <v>2010</v>
      </c>
      <c r="D24" s="354" t="s">
        <v>283</v>
      </c>
      <c r="E24" s="354">
        <v>2007</v>
      </c>
      <c r="F24" s="354">
        <v>2007</v>
      </c>
      <c r="G24" s="354" t="s">
        <v>283</v>
      </c>
      <c r="H24" s="355" t="s">
        <v>283</v>
      </c>
    </row>
    <row r="25" spans="1:9">
      <c r="A25" s="93">
        <f>ROWS($A$3:A23)</f>
        <v>21</v>
      </c>
      <c r="B25" s="59" t="s">
        <v>268</v>
      </c>
      <c r="C25" s="354">
        <v>2010</v>
      </c>
      <c r="D25" s="354" t="s">
        <v>283</v>
      </c>
      <c r="E25" s="354">
        <v>2007</v>
      </c>
      <c r="F25" s="354">
        <v>2007</v>
      </c>
      <c r="G25" s="354" t="s">
        <v>283</v>
      </c>
      <c r="H25" s="355" t="s">
        <v>283</v>
      </c>
    </row>
    <row r="26" spans="1:9">
      <c r="A26" s="93">
        <f>ROWS($A$3:A24)</f>
        <v>22</v>
      </c>
      <c r="B26" s="59" t="s">
        <v>269</v>
      </c>
      <c r="C26" s="354">
        <v>2010</v>
      </c>
      <c r="D26" s="354" t="s">
        <v>283</v>
      </c>
      <c r="E26" s="354">
        <v>2007</v>
      </c>
      <c r="F26" s="354">
        <v>2007</v>
      </c>
      <c r="G26" s="354" t="s">
        <v>283</v>
      </c>
      <c r="H26" s="355" t="s">
        <v>283</v>
      </c>
    </row>
    <row r="27" spans="1:9">
      <c r="A27" s="93">
        <f>ROWS($A$3:A25)</f>
        <v>23</v>
      </c>
      <c r="B27" s="59" t="s">
        <v>270</v>
      </c>
      <c r="C27" s="354">
        <v>2010</v>
      </c>
      <c r="D27" s="354" t="s">
        <v>283</v>
      </c>
      <c r="E27" s="354">
        <v>2007</v>
      </c>
      <c r="F27" s="354">
        <v>2007</v>
      </c>
      <c r="G27" s="354" t="s">
        <v>283</v>
      </c>
      <c r="H27" s="355" t="s">
        <v>283</v>
      </c>
    </row>
    <row r="28" spans="1:9">
      <c r="A28" s="93">
        <f>ROWS($A$3:A26)</f>
        <v>24</v>
      </c>
      <c r="B28" s="59" t="s">
        <v>271</v>
      </c>
      <c r="C28" s="354">
        <v>2010</v>
      </c>
      <c r="D28" s="354" t="s">
        <v>283</v>
      </c>
      <c r="E28" s="354">
        <v>2007</v>
      </c>
      <c r="F28" s="354">
        <v>2007</v>
      </c>
      <c r="G28" s="354" t="s">
        <v>283</v>
      </c>
      <c r="H28" s="355" t="s">
        <v>283</v>
      </c>
    </row>
    <row r="29" spans="1:9">
      <c r="A29" s="93">
        <f>ROWS($A$3:A27)</f>
        <v>25</v>
      </c>
      <c r="B29" s="59" t="s">
        <v>5</v>
      </c>
      <c r="C29" s="354">
        <v>2010</v>
      </c>
      <c r="D29" s="354" t="s">
        <v>283</v>
      </c>
      <c r="E29" s="354">
        <v>2007</v>
      </c>
      <c r="F29" s="354">
        <v>2007</v>
      </c>
      <c r="G29" s="354" t="s">
        <v>283</v>
      </c>
      <c r="H29" s="355" t="s">
        <v>283</v>
      </c>
    </row>
    <row r="30" spans="1:9">
      <c r="A30" s="93">
        <f>ROWS($A$3:A28)</f>
        <v>26</v>
      </c>
      <c r="B30" s="59" t="s">
        <v>6</v>
      </c>
      <c r="C30" s="354">
        <v>2010</v>
      </c>
      <c r="D30" s="354" t="s">
        <v>283</v>
      </c>
      <c r="E30" s="354">
        <v>2007</v>
      </c>
      <c r="F30" s="354">
        <v>2007</v>
      </c>
      <c r="G30" s="354" t="s">
        <v>283</v>
      </c>
      <c r="H30" s="355" t="s">
        <v>283</v>
      </c>
    </row>
    <row r="31" spans="1:9">
      <c r="A31" s="93">
        <f>ROWS($A$3:A29)</f>
        <v>27</v>
      </c>
      <c r="B31" s="60" t="s">
        <v>276</v>
      </c>
      <c r="C31" s="354">
        <v>2010</v>
      </c>
      <c r="D31" s="354" t="s">
        <v>283</v>
      </c>
      <c r="E31" s="354">
        <v>2007</v>
      </c>
      <c r="F31" s="354">
        <v>2007</v>
      </c>
      <c r="G31" s="354" t="s">
        <v>283</v>
      </c>
      <c r="H31" s="355" t="s">
        <v>283</v>
      </c>
    </row>
    <row r="32" spans="1:9">
      <c r="A32" s="93">
        <f>ROWS($A$3:A30)</f>
        <v>28</v>
      </c>
      <c r="B32" s="60" t="s">
        <v>285</v>
      </c>
      <c r="C32" s="354">
        <v>2010</v>
      </c>
      <c r="D32" s="354" t="s">
        <v>283</v>
      </c>
      <c r="E32" s="354">
        <v>2007</v>
      </c>
      <c r="F32" s="354">
        <v>2007</v>
      </c>
      <c r="G32" s="354" t="s">
        <v>283</v>
      </c>
      <c r="H32" s="355" t="s">
        <v>283</v>
      </c>
    </row>
    <row r="33" spans="1:8">
      <c r="A33" s="93">
        <f>ROWS($A$3:A31)</f>
        <v>29</v>
      </c>
      <c r="B33" s="60" t="s">
        <v>181</v>
      </c>
      <c r="C33" s="354">
        <v>2010</v>
      </c>
      <c r="D33" s="354" t="s">
        <v>283</v>
      </c>
      <c r="E33" s="354">
        <v>2007</v>
      </c>
      <c r="F33" s="354">
        <v>2007</v>
      </c>
      <c r="G33" s="354" t="s">
        <v>283</v>
      </c>
      <c r="H33" s="355" t="s">
        <v>283</v>
      </c>
    </row>
    <row r="34" spans="1:8" ht="13.5" thickBot="1">
      <c r="A34" s="93">
        <f>ROWS($A$3:A32)</f>
        <v>30</v>
      </c>
      <c r="B34" s="356" t="s">
        <v>72</v>
      </c>
      <c r="C34" s="357">
        <v>2010</v>
      </c>
      <c r="D34" s="357" t="s">
        <v>283</v>
      </c>
      <c r="E34" s="357">
        <v>2007</v>
      </c>
      <c r="F34" s="357">
        <v>2007</v>
      </c>
      <c r="G34" s="357" t="s">
        <v>283</v>
      </c>
      <c r="H34" s="358" t="s">
        <v>283</v>
      </c>
    </row>
    <row r="35" spans="1:8">
      <c r="A35" s="93">
        <f>ROWS($A$3:A33)</f>
        <v>31</v>
      </c>
      <c r="B35" s="351" t="s">
        <v>73</v>
      </c>
      <c r="C35" s="360"/>
      <c r="D35" s="360"/>
      <c r="E35" s="360"/>
      <c r="F35" s="360"/>
      <c r="G35" s="360"/>
      <c r="H35" s="361"/>
    </row>
    <row r="36" spans="1:8">
      <c r="A36" s="93">
        <f>ROWS($A$3:A34)</f>
        <v>32</v>
      </c>
      <c r="B36" s="106" t="s">
        <v>75</v>
      </c>
      <c r="C36" s="354">
        <v>2010</v>
      </c>
      <c r="D36" s="354" t="s">
        <v>283</v>
      </c>
      <c r="E36" s="354">
        <v>2007</v>
      </c>
      <c r="F36" s="354">
        <v>2007</v>
      </c>
      <c r="G36" s="354" t="s">
        <v>283</v>
      </c>
      <c r="H36" s="355" t="s">
        <v>283</v>
      </c>
    </row>
    <row r="37" spans="1:8">
      <c r="A37" s="93">
        <f>ROWS($A$3:A35)</f>
        <v>33</v>
      </c>
      <c r="B37" s="106" t="s">
        <v>76</v>
      </c>
      <c r="C37" s="354">
        <v>2010</v>
      </c>
      <c r="D37" s="354" t="s">
        <v>283</v>
      </c>
      <c r="E37" s="354">
        <v>2007</v>
      </c>
      <c r="F37" s="354">
        <v>2007</v>
      </c>
      <c r="G37" s="354" t="s">
        <v>283</v>
      </c>
      <c r="H37" s="355" t="s">
        <v>283</v>
      </c>
    </row>
    <row r="38" spans="1:8">
      <c r="A38" s="93">
        <f>ROWS($A$3:A36)</f>
        <v>34</v>
      </c>
      <c r="B38" s="106" t="s">
        <v>7</v>
      </c>
      <c r="C38" s="354">
        <v>2010</v>
      </c>
      <c r="D38" s="354" t="s">
        <v>283</v>
      </c>
      <c r="E38" s="354">
        <v>2007</v>
      </c>
      <c r="F38" s="354">
        <v>2007</v>
      </c>
      <c r="G38" s="354" t="s">
        <v>283</v>
      </c>
      <c r="H38" s="355" t="s">
        <v>283</v>
      </c>
    </row>
    <row r="39" spans="1:8">
      <c r="A39" s="93">
        <f>ROWS($A$3:A37)</f>
        <v>35</v>
      </c>
      <c r="B39" s="106" t="s">
        <v>263</v>
      </c>
      <c r="C39" s="354">
        <v>2010</v>
      </c>
      <c r="D39" s="354" t="s">
        <v>283</v>
      </c>
      <c r="E39" s="354">
        <v>2007</v>
      </c>
      <c r="F39" s="354">
        <v>2007</v>
      </c>
      <c r="G39" s="354" t="s">
        <v>283</v>
      </c>
      <c r="H39" s="355" t="s">
        <v>283</v>
      </c>
    </row>
    <row r="40" spans="1:8" ht="13.5" thickBot="1">
      <c r="A40" s="93">
        <f>ROWS($A$3:A38)</f>
        <v>36</v>
      </c>
      <c r="B40" s="362" t="s">
        <v>264</v>
      </c>
      <c r="C40" s="357">
        <v>2010</v>
      </c>
      <c r="D40" s="357" t="s">
        <v>283</v>
      </c>
      <c r="E40" s="357">
        <v>2007</v>
      </c>
      <c r="F40" s="357">
        <v>2007</v>
      </c>
      <c r="G40" s="357" t="s">
        <v>283</v>
      </c>
      <c r="H40" s="358" t="s">
        <v>283</v>
      </c>
    </row>
    <row r="41" spans="1:8">
      <c r="A41" s="93">
        <f>ROWS($A$3:A39)</f>
        <v>37</v>
      </c>
      <c r="B41" s="351" t="s">
        <v>109</v>
      </c>
      <c r="C41" s="360"/>
      <c r="D41" s="360"/>
      <c r="E41" s="360"/>
      <c r="F41" s="360"/>
      <c r="G41" s="360"/>
      <c r="H41" s="361"/>
    </row>
    <row r="42" spans="1:8">
      <c r="A42" s="93">
        <f>ROWS($A$3:A40)</f>
        <v>38</v>
      </c>
      <c r="B42" s="106" t="s">
        <v>78</v>
      </c>
      <c r="C42" s="354">
        <v>2010</v>
      </c>
      <c r="D42" s="354" t="s">
        <v>283</v>
      </c>
      <c r="E42" s="354" t="s">
        <v>283</v>
      </c>
      <c r="F42" s="354" t="s">
        <v>283</v>
      </c>
      <c r="G42" s="354" t="s">
        <v>283</v>
      </c>
      <c r="H42" s="355" t="s">
        <v>283</v>
      </c>
    </row>
    <row r="43" spans="1:8">
      <c r="A43" s="93">
        <f>ROWS($A$3:A41)</f>
        <v>39</v>
      </c>
      <c r="B43" s="106" t="s">
        <v>15</v>
      </c>
      <c r="C43" s="354">
        <v>2010</v>
      </c>
      <c r="D43" s="354" t="s">
        <v>283</v>
      </c>
      <c r="E43" s="354" t="s">
        <v>283</v>
      </c>
      <c r="F43" s="354" t="s">
        <v>283</v>
      </c>
      <c r="G43" s="354" t="s">
        <v>283</v>
      </c>
      <c r="H43" s="355" t="s">
        <v>283</v>
      </c>
    </row>
    <row r="44" spans="1:8">
      <c r="A44" s="93">
        <f>ROWS($A$3:A42)</f>
        <v>40</v>
      </c>
      <c r="B44" s="106" t="s">
        <v>253</v>
      </c>
      <c r="C44" s="354">
        <v>2010</v>
      </c>
      <c r="D44" s="354" t="s">
        <v>283</v>
      </c>
      <c r="E44" s="354" t="s">
        <v>283</v>
      </c>
      <c r="F44" s="354" t="s">
        <v>283</v>
      </c>
      <c r="G44" s="354" t="s">
        <v>283</v>
      </c>
      <c r="H44" s="355" t="s">
        <v>283</v>
      </c>
    </row>
    <row r="45" spans="1:8">
      <c r="A45" s="93">
        <f>ROWS($A$3:A43)</f>
        <v>41</v>
      </c>
      <c r="B45" s="62" t="s">
        <v>21</v>
      </c>
      <c r="C45" s="354">
        <v>2010</v>
      </c>
      <c r="D45" s="354" t="s">
        <v>283</v>
      </c>
      <c r="E45" s="354" t="s">
        <v>283</v>
      </c>
      <c r="F45" s="354" t="s">
        <v>283</v>
      </c>
      <c r="G45" s="354" t="s">
        <v>283</v>
      </c>
      <c r="H45" s="355" t="s">
        <v>283</v>
      </c>
    </row>
    <row r="46" spans="1:8">
      <c r="A46" s="93">
        <f>ROWS($A$3:A44)</f>
        <v>42</v>
      </c>
      <c r="B46" s="106" t="s">
        <v>79</v>
      </c>
      <c r="C46" s="354">
        <v>2010</v>
      </c>
      <c r="D46" s="354" t="s">
        <v>283</v>
      </c>
      <c r="E46" s="354">
        <v>2007</v>
      </c>
      <c r="F46" s="354">
        <v>2007</v>
      </c>
      <c r="G46" s="354" t="s">
        <v>283</v>
      </c>
      <c r="H46" s="355" t="s">
        <v>283</v>
      </c>
    </row>
    <row r="47" spans="1:8">
      <c r="A47" s="93">
        <f>ROWS($A$3:A45)</f>
        <v>43</v>
      </c>
      <c r="B47" s="106" t="s">
        <v>9</v>
      </c>
      <c r="C47" s="354">
        <v>2010</v>
      </c>
      <c r="D47" s="354" t="s">
        <v>283</v>
      </c>
      <c r="E47" s="354">
        <v>2007</v>
      </c>
      <c r="F47" s="354">
        <v>2007</v>
      </c>
      <c r="G47" s="354" t="s">
        <v>283</v>
      </c>
      <c r="H47" s="355" t="s">
        <v>283</v>
      </c>
    </row>
    <row r="48" spans="1:8">
      <c r="A48" s="93">
        <f>ROWS($A$3:A46)</f>
        <v>44</v>
      </c>
      <c r="B48" s="62" t="s">
        <v>20</v>
      </c>
      <c r="C48" s="354">
        <v>2010</v>
      </c>
      <c r="D48" s="354" t="s">
        <v>283</v>
      </c>
      <c r="E48" s="354">
        <v>2007</v>
      </c>
      <c r="F48" s="354">
        <v>2007</v>
      </c>
      <c r="G48" s="354" t="s">
        <v>283</v>
      </c>
      <c r="H48" s="355" t="s">
        <v>283</v>
      </c>
    </row>
    <row r="49" spans="1:8">
      <c r="A49" s="93">
        <f>ROWS($A$3:A47)</f>
        <v>45</v>
      </c>
      <c r="B49" s="236" t="s">
        <v>258</v>
      </c>
      <c r="C49" s="354">
        <v>2010</v>
      </c>
      <c r="D49" s="354" t="s">
        <v>283</v>
      </c>
      <c r="E49" s="354">
        <v>2007</v>
      </c>
      <c r="F49" s="354">
        <v>2007</v>
      </c>
      <c r="G49" s="354" t="s">
        <v>283</v>
      </c>
      <c r="H49" s="355" t="s">
        <v>283</v>
      </c>
    </row>
    <row r="50" spans="1:8">
      <c r="A50" s="93">
        <f>ROWS($A$3:A48)</f>
        <v>46</v>
      </c>
      <c r="B50" s="106" t="s">
        <v>80</v>
      </c>
      <c r="C50" s="354">
        <v>2010</v>
      </c>
      <c r="D50" s="354" t="s">
        <v>283</v>
      </c>
      <c r="E50" s="354">
        <v>2007</v>
      </c>
      <c r="F50" s="354">
        <v>2007</v>
      </c>
      <c r="G50" s="354" t="s">
        <v>283</v>
      </c>
      <c r="H50" s="355" t="s">
        <v>283</v>
      </c>
    </row>
    <row r="51" spans="1:8">
      <c r="A51" s="93">
        <f>ROWS($A$3:A49)</f>
        <v>47</v>
      </c>
      <c r="B51" s="106" t="s">
        <v>81</v>
      </c>
      <c r="C51" s="354">
        <v>2010</v>
      </c>
      <c r="D51" s="354" t="s">
        <v>283</v>
      </c>
      <c r="E51" s="354">
        <v>2007</v>
      </c>
      <c r="F51" s="354">
        <v>2007</v>
      </c>
      <c r="G51" s="354" t="s">
        <v>283</v>
      </c>
      <c r="H51" s="355" t="s">
        <v>283</v>
      </c>
    </row>
    <row r="52" spans="1:8">
      <c r="A52" s="93">
        <f>ROWS($A$3:A50)</f>
        <v>48</v>
      </c>
      <c r="B52" s="62" t="s">
        <v>103</v>
      </c>
      <c r="C52" s="354">
        <v>2010</v>
      </c>
      <c r="D52" s="354" t="s">
        <v>283</v>
      </c>
      <c r="E52" s="354" t="s">
        <v>283</v>
      </c>
      <c r="F52" s="354" t="s">
        <v>283</v>
      </c>
      <c r="G52" s="354" t="s">
        <v>283</v>
      </c>
      <c r="H52" s="355" t="s">
        <v>283</v>
      </c>
    </row>
    <row r="53" spans="1:8">
      <c r="A53" s="93">
        <f>ROWS($A$3:A51)</f>
        <v>49</v>
      </c>
      <c r="B53" s="62" t="s">
        <v>104</v>
      </c>
      <c r="C53" s="354">
        <v>2010</v>
      </c>
      <c r="D53" s="354" t="s">
        <v>283</v>
      </c>
      <c r="E53" s="354" t="s">
        <v>283</v>
      </c>
      <c r="F53" s="354" t="s">
        <v>283</v>
      </c>
      <c r="G53" s="354" t="s">
        <v>283</v>
      </c>
      <c r="H53" s="355" t="s">
        <v>283</v>
      </c>
    </row>
    <row r="54" spans="1:8">
      <c r="A54" s="93">
        <f>ROWS($A$3:A52)</f>
        <v>50</v>
      </c>
      <c r="B54" s="62" t="s">
        <v>286</v>
      </c>
      <c r="C54" s="354">
        <v>2010</v>
      </c>
      <c r="D54" s="354" t="s">
        <v>283</v>
      </c>
      <c r="E54" s="354" t="s">
        <v>283</v>
      </c>
      <c r="F54" s="354" t="s">
        <v>283</v>
      </c>
      <c r="G54" s="354" t="s">
        <v>283</v>
      </c>
      <c r="H54" s="355" t="s">
        <v>283</v>
      </c>
    </row>
    <row r="55" spans="1:8" ht="13.5" thickBot="1">
      <c r="A55" s="93">
        <f>ROWS($A$3:A53)</f>
        <v>51</v>
      </c>
      <c r="B55" s="363" t="s">
        <v>287</v>
      </c>
      <c r="C55" s="357">
        <v>2010</v>
      </c>
      <c r="D55" s="357" t="s">
        <v>283</v>
      </c>
      <c r="E55" s="357" t="s">
        <v>283</v>
      </c>
      <c r="F55" s="357" t="s">
        <v>283</v>
      </c>
      <c r="G55" s="357" t="s">
        <v>283</v>
      </c>
      <c r="H55" s="358" t="s">
        <v>283</v>
      </c>
    </row>
    <row r="56" spans="1:8" ht="14.25">
      <c r="A56" s="93">
        <f>ROWS($A$3:A54)</f>
        <v>52</v>
      </c>
      <c r="B56" s="351" t="s">
        <v>224</v>
      </c>
      <c r="C56" s="360"/>
      <c r="D56" s="360"/>
      <c r="E56" s="360"/>
      <c r="F56" s="360"/>
      <c r="G56" s="360"/>
      <c r="H56" s="361"/>
    </row>
    <row r="57" spans="1:8">
      <c r="A57" s="93">
        <f>ROWS($A$3:A55)</f>
        <v>53</v>
      </c>
      <c r="B57" s="106" t="s">
        <v>57</v>
      </c>
      <c r="C57" s="354" t="s">
        <v>283</v>
      </c>
      <c r="D57" s="354" t="s">
        <v>283</v>
      </c>
      <c r="E57" s="354">
        <v>2008</v>
      </c>
      <c r="F57" s="354" t="s">
        <v>283</v>
      </c>
      <c r="G57" s="354">
        <v>2006</v>
      </c>
      <c r="H57" s="355" t="s">
        <v>283</v>
      </c>
    </row>
    <row r="58" spans="1:8">
      <c r="A58" s="93">
        <f>ROWS($A$3:A56)</f>
        <v>54</v>
      </c>
      <c r="B58" s="106"/>
      <c r="C58" s="354" t="s">
        <v>283</v>
      </c>
      <c r="D58" s="354" t="s">
        <v>283</v>
      </c>
      <c r="E58" s="354">
        <v>2008</v>
      </c>
      <c r="F58" s="354" t="s">
        <v>283</v>
      </c>
      <c r="G58" s="354">
        <v>2006</v>
      </c>
      <c r="H58" s="355" t="s">
        <v>283</v>
      </c>
    </row>
    <row r="59" spans="1:8">
      <c r="A59" s="93">
        <f>ROWS($A$3:A57)</f>
        <v>55</v>
      </c>
      <c r="B59" s="106" t="s">
        <v>249</v>
      </c>
      <c r="C59" s="354" t="s">
        <v>283</v>
      </c>
      <c r="D59" s="484" t="s">
        <v>283</v>
      </c>
      <c r="E59" s="354" t="s">
        <v>288</v>
      </c>
      <c r="F59" s="354" t="s">
        <v>288</v>
      </c>
      <c r="G59" s="354" t="s">
        <v>288</v>
      </c>
      <c r="H59" s="355" t="s">
        <v>288</v>
      </c>
    </row>
    <row r="60" spans="1:8">
      <c r="A60" s="93">
        <f>ROWS($A$3:A58)</f>
        <v>56</v>
      </c>
      <c r="B60" s="106"/>
      <c r="C60" s="354" t="s">
        <v>283</v>
      </c>
      <c r="D60" s="484" t="s">
        <v>283</v>
      </c>
      <c r="E60" s="354" t="s">
        <v>288</v>
      </c>
      <c r="F60" s="354" t="s">
        <v>288</v>
      </c>
      <c r="G60" s="354" t="s">
        <v>288</v>
      </c>
      <c r="H60" s="355" t="s">
        <v>288</v>
      </c>
    </row>
    <row r="61" spans="1:8">
      <c r="A61" s="93">
        <f>ROWS($A$3:A59)</f>
        <v>57</v>
      </c>
      <c r="B61" s="106" t="s">
        <v>250</v>
      </c>
      <c r="C61" s="354" t="s">
        <v>283</v>
      </c>
      <c r="D61" s="484" t="s">
        <v>283</v>
      </c>
      <c r="E61" s="354" t="s">
        <v>288</v>
      </c>
      <c r="F61" s="354" t="s">
        <v>288</v>
      </c>
      <c r="G61" s="354" t="s">
        <v>288</v>
      </c>
      <c r="H61" s="355" t="s">
        <v>288</v>
      </c>
    </row>
    <row r="62" spans="1:8">
      <c r="A62" s="93">
        <f>ROWS($A$3:A60)</f>
        <v>58</v>
      </c>
      <c r="B62" s="106"/>
      <c r="C62" s="354" t="s">
        <v>283</v>
      </c>
      <c r="D62" s="484" t="s">
        <v>283</v>
      </c>
      <c r="E62" s="354" t="s">
        <v>288</v>
      </c>
      <c r="F62" s="354" t="s">
        <v>288</v>
      </c>
      <c r="G62" s="354" t="s">
        <v>288</v>
      </c>
      <c r="H62" s="355" t="s">
        <v>288</v>
      </c>
    </row>
    <row r="63" spans="1:8">
      <c r="A63" s="93">
        <f>ROWS($A$3:A61)</f>
        <v>59</v>
      </c>
      <c r="B63" s="106" t="s">
        <v>59</v>
      </c>
      <c r="C63" s="354">
        <v>2010</v>
      </c>
      <c r="D63" s="484" t="s">
        <v>283</v>
      </c>
      <c r="E63" s="354">
        <v>2008</v>
      </c>
      <c r="F63" s="354" t="s">
        <v>283</v>
      </c>
      <c r="G63" s="354">
        <v>2006</v>
      </c>
      <c r="H63" s="355" t="s">
        <v>283</v>
      </c>
    </row>
    <row r="64" spans="1:8" ht="13.5" thickBot="1">
      <c r="A64" s="93">
        <f>ROWS($A$3:A62)</f>
        <v>60</v>
      </c>
      <c r="B64" s="362"/>
      <c r="C64" s="357">
        <v>2010</v>
      </c>
      <c r="D64" s="485" t="s">
        <v>283</v>
      </c>
      <c r="E64" s="357">
        <v>2008</v>
      </c>
      <c r="F64" s="357" t="s">
        <v>283</v>
      </c>
      <c r="G64" s="357">
        <v>2006</v>
      </c>
      <c r="H64" s="358" t="s">
        <v>283</v>
      </c>
    </row>
    <row r="65" spans="1:8">
      <c r="A65" s="93">
        <f>ROWS($A$3:A63)</f>
        <v>61</v>
      </c>
      <c r="B65" s="351" t="s">
        <v>86</v>
      </c>
      <c r="C65" s="360"/>
      <c r="D65" s="486"/>
      <c r="E65" s="360"/>
      <c r="F65" s="360"/>
      <c r="G65" s="360"/>
      <c r="H65" s="361"/>
    </row>
    <row r="66" spans="1:8">
      <c r="A66" s="93">
        <f>ROWS($A$3:A64)</f>
        <v>62</v>
      </c>
      <c r="B66" s="62" t="s">
        <v>85</v>
      </c>
      <c r="C66" s="354">
        <v>2010</v>
      </c>
      <c r="D66" s="484" t="s">
        <v>283</v>
      </c>
      <c r="E66" s="354" t="s">
        <v>283</v>
      </c>
      <c r="F66" s="354" t="s">
        <v>283</v>
      </c>
      <c r="G66" s="354" t="s">
        <v>283</v>
      </c>
      <c r="H66" s="355">
        <v>2002</v>
      </c>
    </row>
    <row r="67" spans="1:8">
      <c r="A67" s="93">
        <f>ROWS($A$3:A65)</f>
        <v>63</v>
      </c>
      <c r="B67" s="106" t="s">
        <v>281</v>
      </c>
      <c r="C67" s="354">
        <v>2010</v>
      </c>
      <c r="D67" s="484" t="s">
        <v>283</v>
      </c>
      <c r="E67" s="354" t="s">
        <v>283</v>
      </c>
      <c r="F67" s="354" t="s">
        <v>283</v>
      </c>
      <c r="G67" s="354" t="s">
        <v>283</v>
      </c>
      <c r="H67" s="355">
        <v>2002</v>
      </c>
    </row>
    <row r="68" spans="1:8" ht="13.5" thickBot="1">
      <c r="A68" s="93">
        <f>ROWS($A$3:A66)</f>
        <v>64</v>
      </c>
      <c r="B68" s="362" t="s">
        <v>282</v>
      </c>
      <c r="C68" s="357">
        <v>2010</v>
      </c>
      <c r="D68" s="485" t="s">
        <v>283</v>
      </c>
      <c r="E68" s="357" t="s">
        <v>283</v>
      </c>
      <c r="F68" s="357" t="s">
        <v>283</v>
      </c>
      <c r="G68" s="357" t="s">
        <v>283</v>
      </c>
      <c r="H68" s="358">
        <v>2002</v>
      </c>
    </row>
    <row r="69" spans="1:8">
      <c r="A69" s="93">
        <f>ROWS($A$3:A67)</f>
        <v>65</v>
      </c>
      <c r="B69" s="351" t="s">
        <v>87</v>
      </c>
      <c r="C69" s="360"/>
      <c r="D69" s="486"/>
      <c r="E69" s="360"/>
      <c r="F69" s="360"/>
      <c r="G69" s="360"/>
      <c r="H69" s="361"/>
    </row>
    <row r="70" spans="1:8">
      <c r="A70" s="93">
        <f>ROWS($A$3:A68)</f>
        <v>66</v>
      </c>
      <c r="B70" s="106" t="s">
        <v>88</v>
      </c>
      <c r="C70" s="354">
        <v>2010</v>
      </c>
      <c r="D70" s="484" t="s">
        <v>283</v>
      </c>
      <c r="E70" s="354">
        <v>2007</v>
      </c>
      <c r="F70" s="354">
        <v>2007</v>
      </c>
      <c r="G70" s="354" t="s">
        <v>283</v>
      </c>
      <c r="H70" s="355" t="s">
        <v>283</v>
      </c>
    </row>
    <row r="71" spans="1:8">
      <c r="A71" s="93">
        <f>ROWS($A$3:A69)</f>
        <v>67</v>
      </c>
      <c r="B71" s="106" t="s">
        <v>74</v>
      </c>
      <c r="C71" s="354">
        <v>2010</v>
      </c>
      <c r="D71" s="484" t="s">
        <v>283</v>
      </c>
      <c r="E71" s="354">
        <v>2007</v>
      </c>
      <c r="F71" s="354">
        <v>2007</v>
      </c>
      <c r="G71" s="354" t="s">
        <v>283</v>
      </c>
      <c r="H71" s="355" t="s">
        <v>283</v>
      </c>
    </row>
    <row r="72" spans="1:8" ht="13.5" thickBot="1">
      <c r="A72" s="93">
        <f>ROWS($A$3:A70)</f>
        <v>68</v>
      </c>
      <c r="B72" s="363" t="s">
        <v>71</v>
      </c>
      <c r="C72" s="357">
        <v>2010</v>
      </c>
      <c r="D72" s="485" t="s">
        <v>283</v>
      </c>
      <c r="E72" s="357">
        <v>2007</v>
      </c>
      <c r="F72" s="357">
        <v>2007</v>
      </c>
      <c r="G72" s="357" t="s">
        <v>283</v>
      </c>
      <c r="H72" s="358" t="s">
        <v>283</v>
      </c>
    </row>
    <row r="73" spans="1:8">
      <c r="A73" s="93">
        <f>ROWS($A$3:A72)</f>
        <v>70</v>
      </c>
      <c r="B73" s="351" t="s">
        <v>89</v>
      </c>
      <c r="C73" s="360"/>
      <c r="D73" s="486"/>
      <c r="E73" s="360"/>
      <c r="F73" s="360"/>
      <c r="G73" s="360"/>
      <c r="H73" s="361"/>
    </row>
    <row r="74" spans="1:8">
      <c r="A74" s="93">
        <f>ROWS($A$3:A72)</f>
        <v>70</v>
      </c>
      <c r="B74" s="106" t="s">
        <v>90</v>
      </c>
      <c r="C74" s="354">
        <v>2010</v>
      </c>
      <c r="D74" s="484" t="s">
        <v>283</v>
      </c>
      <c r="E74" s="354">
        <v>2007</v>
      </c>
      <c r="F74" s="354">
        <v>2007</v>
      </c>
      <c r="G74" s="354" t="s">
        <v>283</v>
      </c>
      <c r="H74" s="355" t="s">
        <v>283</v>
      </c>
    </row>
    <row r="75" spans="1:8">
      <c r="A75" s="93">
        <f>ROWS($A$3:A73)</f>
        <v>71</v>
      </c>
      <c r="B75" s="106" t="s">
        <v>91</v>
      </c>
      <c r="C75" s="354">
        <v>2010</v>
      </c>
      <c r="D75" s="484" t="s">
        <v>283</v>
      </c>
      <c r="E75" s="354">
        <v>2007</v>
      </c>
      <c r="F75" s="354">
        <v>2007</v>
      </c>
      <c r="G75" s="354" t="s">
        <v>283</v>
      </c>
      <c r="H75" s="355" t="s">
        <v>283</v>
      </c>
    </row>
    <row r="76" spans="1:8">
      <c r="A76" s="93">
        <f>ROWS($A$3:A74)</f>
        <v>72</v>
      </c>
      <c r="B76" s="106" t="s">
        <v>92</v>
      </c>
      <c r="C76" s="354">
        <v>2010</v>
      </c>
      <c r="D76" s="484" t="s">
        <v>283</v>
      </c>
      <c r="E76" s="354">
        <v>2007</v>
      </c>
      <c r="F76" s="354">
        <v>2007</v>
      </c>
      <c r="G76" s="354" t="s">
        <v>283</v>
      </c>
      <c r="H76" s="355" t="s">
        <v>283</v>
      </c>
    </row>
    <row r="77" spans="1:8">
      <c r="A77" s="93">
        <f>ROWS($A$3:A75)</f>
        <v>73</v>
      </c>
      <c r="B77" s="106" t="s">
        <v>93</v>
      </c>
      <c r="C77" s="354">
        <v>2010</v>
      </c>
      <c r="D77" s="484" t="s">
        <v>283</v>
      </c>
      <c r="E77" s="354">
        <v>2007</v>
      </c>
      <c r="F77" s="354">
        <v>2007</v>
      </c>
      <c r="G77" s="354" t="s">
        <v>283</v>
      </c>
      <c r="H77" s="355" t="s">
        <v>283</v>
      </c>
    </row>
    <row r="78" spans="1:8">
      <c r="A78" s="93">
        <f>ROWS($A$3:A76)</f>
        <v>74</v>
      </c>
      <c r="B78" s="106" t="s">
        <v>94</v>
      </c>
      <c r="C78" s="354">
        <v>2010</v>
      </c>
      <c r="D78" s="484" t="s">
        <v>283</v>
      </c>
      <c r="E78" s="354">
        <v>2007</v>
      </c>
      <c r="F78" s="354">
        <v>2007</v>
      </c>
      <c r="G78" s="354" t="s">
        <v>283</v>
      </c>
      <c r="H78" s="355" t="s">
        <v>283</v>
      </c>
    </row>
    <row r="79" spans="1:8" ht="13.5" thickBot="1">
      <c r="A79" s="93">
        <f>ROWS($A$3:A77)</f>
        <v>75</v>
      </c>
      <c r="B79" s="362" t="s">
        <v>95</v>
      </c>
      <c r="C79" s="357">
        <v>2010</v>
      </c>
      <c r="D79" s="485" t="s">
        <v>283</v>
      </c>
      <c r="E79" s="357">
        <v>2007</v>
      </c>
      <c r="F79" s="357">
        <v>2007</v>
      </c>
      <c r="G79" s="357" t="s">
        <v>283</v>
      </c>
      <c r="H79" s="358" t="s">
        <v>283</v>
      </c>
    </row>
    <row r="80" spans="1:8">
      <c r="A80" s="93">
        <f>ROWS($A$3:A78)</f>
        <v>76</v>
      </c>
      <c r="B80" s="351" t="s">
        <v>84</v>
      </c>
      <c r="C80" s="360"/>
      <c r="D80" s="486"/>
      <c r="E80" s="360"/>
      <c r="F80" s="360"/>
      <c r="G80" s="360"/>
      <c r="H80" s="361"/>
    </row>
    <row r="81" spans="1:8">
      <c r="A81" s="93">
        <f>ROWS($A$3:A79)</f>
        <v>77</v>
      </c>
      <c r="B81" s="106" t="s">
        <v>96</v>
      </c>
      <c r="C81" s="354">
        <v>2010</v>
      </c>
      <c r="D81" s="484" t="s">
        <v>283</v>
      </c>
      <c r="E81" s="354">
        <v>2008</v>
      </c>
      <c r="F81" s="354" t="s">
        <v>283</v>
      </c>
      <c r="G81" s="354">
        <v>2008</v>
      </c>
      <c r="H81" s="355"/>
    </row>
    <row r="82" spans="1:8">
      <c r="A82" s="93">
        <f>ROWS($A$3:A80)</f>
        <v>78</v>
      </c>
      <c r="B82" s="106" t="s">
        <v>97</v>
      </c>
      <c r="C82" s="354">
        <v>2010</v>
      </c>
      <c r="D82" s="484" t="s">
        <v>283</v>
      </c>
      <c r="E82" s="354">
        <v>2008</v>
      </c>
      <c r="F82" s="354" t="s">
        <v>283</v>
      </c>
      <c r="G82" s="354">
        <v>2008</v>
      </c>
      <c r="H82" s="355"/>
    </row>
    <row r="83" spans="1:8">
      <c r="A83" s="93">
        <f>ROWS($A$3:A81)</f>
        <v>79</v>
      </c>
      <c r="B83" s="62" t="s">
        <v>98</v>
      </c>
      <c r="C83" s="354">
        <v>2010</v>
      </c>
      <c r="D83" s="484" t="s">
        <v>283</v>
      </c>
      <c r="E83" s="354">
        <v>2008</v>
      </c>
      <c r="F83" s="354" t="s">
        <v>283</v>
      </c>
      <c r="G83" s="354">
        <v>2008</v>
      </c>
      <c r="H83" s="355"/>
    </row>
    <row r="84" spans="1:8">
      <c r="A84" s="93">
        <f>ROWS($A$3:A82)</f>
        <v>80</v>
      </c>
      <c r="B84" s="106" t="s">
        <v>99</v>
      </c>
      <c r="C84" s="354">
        <v>2010</v>
      </c>
      <c r="D84" s="484" t="s">
        <v>283</v>
      </c>
      <c r="E84" s="354">
        <v>2008</v>
      </c>
      <c r="F84" s="354" t="s">
        <v>283</v>
      </c>
      <c r="G84" s="354">
        <v>2008</v>
      </c>
      <c r="H84" s="355"/>
    </row>
    <row r="85" spans="1:8">
      <c r="A85" s="93">
        <f>ROWS($A$3:A83)</f>
        <v>81</v>
      </c>
      <c r="B85" s="106" t="s">
        <v>100</v>
      </c>
      <c r="C85" s="354">
        <v>2010</v>
      </c>
      <c r="D85" s="484" t="s">
        <v>283</v>
      </c>
      <c r="E85" s="354">
        <v>2008</v>
      </c>
      <c r="F85" s="354" t="s">
        <v>283</v>
      </c>
      <c r="G85" s="354">
        <v>2008</v>
      </c>
      <c r="H85" s="355"/>
    </row>
    <row r="86" spans="1:8" ht="13.5" thickBot="1">
      <c r="A86" s="93">
        <f>ROWS($A$3:A84)</f>
        <v>82</v>
      </c>
      <c r="B86" s="362" t="s">
        <v>101</v>
      </c>
      <c r="C86" s="357">
        <v>2010</v>
      </c>
      <c r="D86" s="484" t="s">
        <v>283</v>
      </c>
      <c r="E86" s="357">
        <v>2008</v>
      </c>
      <c r="F86" s="357" t="s">
        <v>283</v>
      </c>
      <c r="G86" s="357">
        <v>2008</v>
      </c>
      <c r="H86" s="358"/>
    </row>
    <row r="87" spans="1:8">
      <c r="A87" s="93">
        <f>ROWS($A$3:A85)</f>
        <v>83</v>
      </c>
      <c r="B87" s="351" t="s">
        <v>202</v>
      </c>
      <c r="C87" s="360"/>
      <c r="D87" s="486"/>
      <c r="E87" s="360"/>
      <c r="F87" s="360"/>
      <c r="G87" s="360"/>
      <c r="H87" s="361"/>
    </row>
    <row r="88" spans="1:8" ht="13.5" thickBot="1">
      <c r="A88" s="93">
        <f>ROWS($A$3:A86)</f>
        <v>84</v>
      </c>
      <c r="B88" s="363" t="s">
        <v>200</v>
      </c>
      <c r="C88" s="357">
        <v>2010</v>
      </c>
      <c r="D88" s="485" t="s">
        <v>283</v>
      </c>
      <c r="E88" s="357" t="s">
        <v>283</v>
      </c>
      <c r="F88" s="357" t="s">
        <v>283</v>
      </c>
      <c r="G88" s="357" t="s">
        <v>283</v>
      </c>
      <c r="H88" s="358" t="s">
        <v>283</v>
      </c>
    </row>
    <row r="89" spans="1:8">
      <c r="A89" s="93">
        <f>ROWS($A$3:A87)</f>
        <v>85</v>
      </c>
      <c r="B89" s="351" t="s">
        <v>203</v>
      </c>
      <c r="C89" s="360"/>
      <c r="D89" s="486"/>
      <c r="E89" s="360"/>
      <c r="F89" s="360"/>
      <c r="G89" s="360"/>
      <c r="H89" s="361"/>
    </row>
    <row r="90" spans="1:8">
      <c r="A90" s="93">
        <f>ROWS($A$3:A88)</f>
        <v>86</v>
      </c>
      <c r="B90" s="106" t="s">
        <v>204</v>
      </c>
      <c r="C90" s="354">
        <v>2010</v>
      </c>
      <c r="D90" s="484" t="s">
        <v>283</v>
      </c>
      <c r="E90" s="354" t="s">
        <v>283</v>
      </c>
      <c r="F90" s="354" t="s">
        <v>283</v>
      </c>
      <c r="G90" s="354" t="s">
        <v>283</v>
      </c>
      <c r="H90" s="355" t="s">
        <v>283</v>
      </c>
    </row>
    <row r="91" spans="1:8">
      <c r="A91" s="93">
        <f>ROWS($A$3:A89)</f>
        <v>87</v>
      </c>
      <c r="B91" s="106" t="s">
        <v>206</v>
      </c>
      <c r="C91" s="354">
        <v>2010</v>
      </c>
      <c r="D91" s="484" t="s">
        <v>283</v>
      </c>
      <c r="E91" s="354" t="s">
        <v>283</v>
      </c>
      <c r="F91" s="354" t="s">
        <v>283</v>
      </c>
      <c r="G91" s="354" t="s">
        <v>283</v>
      </c>
      <c r="H91" s="355" t="s">
        <v>283</v>
      </c>
    </row>
    <row r="92" spans="1:8">
      <c r="A92" s="93">
        <f>ROWS($A$3:A90)</f>
        <v>88</v>
      </c>
      <c r="B92" s="106" t="s">
        <v>207</v>
      </c>
      <c r="C92" s="354">
        <v>2010</v>
      </c>
      <c r="D92" s="484" t="s">
        <v>283</v>
      </c>
      <c r="E92" s="354" t="s">
        <v>283</v>
      </c>
      <c r="F92" s="354" t="s">
        <v>283</v>
      </c>
      <c r="G92" s="354" t="s">
        <v>283</v>
      </c>
      <c r="H92" s="355" t="s">
        <v>283</v>
      </c>
    </row>
    <row r="93" spans="1:8" ht="13.5" thickBot="1">
      <c r="A93" s="93">
        <f>ROWS($A$3:A91)</f>
        <v>89</v>
      </c>
      <c r="B93" s="362" t="s">
        <v>208</v>
      </c>
      <c r="C93" s="357">
        <v>2010</v>
      </c>
      <c r="D93" s="485" t="s">
        <v>283</v>
      </c>
      <c r="E93" s="357" t="s">
        <v>283</v>
      </c>
      <c r="F93" s="357" t="s">
        <v>283</v>
      </c>
      <c r="G93" s="357" t="s">
        <v>283</v>
      </c>
      <c r="H93" s="358" t="s">
        <v>283</v>
      </c>
    </row>
    <row r="94" spans="1:8" ht="13.5" thickBot="1">
      <c r="A94" s="93">
        <f>ROWS($A$3:A92)</f>
        <v>90</v>
      </c>
      <c r="B94" s="364" t="s">
        <v>105</v>
      </c>
      <c r="C94" s="365"/>
      <c r="D94" s="487" t="s">
        <v>283</v>
      </c>
      <c r="E94" s="365"/>
      <c r="F94" s="365"/>
      <c r="G94" s="365"/>
      <c r="H94" s="366"/>
    </row>
    <row r="95" spans="1:8">
      <c r="A95" s="93">
        <f>ROWS($A$3:A93)</f>
        <v>91</v>
      </c>
      <c r="B95" s="351" t="s">
        <v>266</v>
      </c>
      <c r="C95" s="360"/>
      <c r="D95" s="486"/>
      <c r="E95" s="360"/>
      <c r="F95" s="360"/>
      <c r="G95" s="360"/>
      <c r="H95" s="361"/>
    </row>
    <row r="96" spans="1:8">
      <c r="A96" s="93">
        <f>ROWS($A$3:A94)</f>
        <v>92</v>
      </c>
      <c r="B96" s="106" t="s">
        <v>82</v>
      </c>
      <c r="C96" s="354">
        <v>2010</v>
      </c>
      <c r="D96" s="484" t="s">
        <v>283</v>
      </c>
      <c r="E96" s="354" t="s">
        <v>283</v>
      </c>
      <c r="F96" s="354" t="s">
        <v>283</v>
      </c>
      <c r="G96" s="354" t="s">
        <v>283</v>
      </c>
      <c r="H96" s="355" t="s">
        <v>283</v>
      </c>
    </row>
    <row r="97" spans="1:8">
      <c r="A97" s="93">
        <f>ROWS($A$3:A95)</f>
        <v>93</v>
      </c>
      <c r="B97" s="106" t="s">
        <v>106</v>
      </c>
      <c r="C97" s="354">
        <v>2010</v>
      </c>
      <c r="D97" s="484">
        <v>2009</v>
      </c>
      <c r="E97" s="354" t="s">
        <v>283</v>
      </c>
      <c r="F97" s="354" t="s">
        <v>283</v>
      </c>
      <c r="G97" s="354" t="s">
        <v>283</v>
      </c>
      <c r="H97" s="355" t="s">
        <v>283</v>
      </c>
    </row>
    <row r="98" spans="1:8">
      <c r="A98" s="93">
        <f>ROWS($A$3:A96)</f>
        <v>94</v>
      </c>
      <c r="B98" s="106" t="s">
        <v>107</v>
      </c>
      <c r="C98" s="354">
        <v>2010</v>
      </c>
      <c r="D98" s="354" t="s">
        <v>283</v>
      </c>
      <c r="E98" s="354" t="s">
        <v>283</v>
      </c>
      <c r="F98" s="354" t="s">
        <v>283</v>
      </c>
      <c r="G98" s="354" t="s">
        <v>283</v>
      </c>
      <c r="H98" s="355" t="s">
        <v>283</v>
      </c>
    </row>
    <row r="99" spans="1:8">
      <c r="A99" s="93">
        <f>ROWS($A$3:A97)</f>
        <v>95</v>
      </c>
      <c r="B99" s="63" t="s">
        <v>82</v>
      </c>
      <c r="C99" s="354">
        <v>2010</v>
      </c>
      <c r="D99" s="354" t="s">
        <v>283</v>
      </c>
      <c r="E99" s="354" t="s">
        <v>283</v>
      </c>
      <c r="F99" s="354" t="s">
        <v>283</v>
      </c>
      <c r="G99" s="354" t="s">
        <v>283</v>
      </c>
      <c r="H99" s="355" t="s">
        <v>283</v>
      </c>
    </row>
    <row r="100" spans="1:8" ht="13.5" thickBot="1">
      <c r="A100" s="93">
        <f>ROWS($A$3:A98)</f>
        <v>96</v>
      </c>
      <c r="B100" s="64" t="s">
        <v>107</v>
      </c>
      <c r="C100" s="357">
        <v>2010</v>
      </c>
      <c r="D100" s="357" t="s">
        <v>283</v>
      </c>
      <c r="E100" s="357" t="s">
        <v>283</v>
      </c>
      <c r="F100" s="357" t="s">
        <v>283</v>
      </c>
      <c r="G100" s="357" t="s">
        <v>283</v>
      </c>
      <c r="H100" s="358" t="s">
        <v>283</v>
      </c>
    </row>
    <row r="101" spans="1:8">
      <c r="A101" s="93">
        <f>ROWS($A$3:A99)</f>
        <v>97</v>
      </c>
      <c r="B101" s="63"/>
      <c r="C101" s="367"/>
      <c r="D101" s="367"/>
      <c r="E101" s="367"/>
      <c r="F101" s="367"/>
      <c r="G101" s="367"/>
      <c r="H101" s="367"/>
    </row>
    <row r="102" spans="1:8">
      <c r="A102" s="93">
        <f>ROWS($A$3:A100)</f>
        <v>98</v>
      </c>
      <c r="B102" s="63" t="s">
        <v>275</v>
      </c>
      <c r="C102" s="354">
        <v>2010</v>
      </c>
      <c r="D102" s="354" t="s">
        <v>283</v>
      </c>
      <c r="E102" s="354" t="s">
        <v>283</v>
      </c>
      <c r="F102" s="354" t="s">
        <v>283</v>
      </c>
      <c r="G102" s="354" t="s">
        <v>283</v>
      </c>
      <c r="H102" s="354" t="s">
        <v>283</v>
      </c>
    </row>
    <row r="103" spans="1:8">
      <c r="A103" s="93">
        <f>ROWS($A$3:A101)</f>
        <v>99</v>
      </c>
      <c r="B103" s="63"/>
      <c r="C103" s="354"/>
      <c r="D103" s="354"/>
      <c r="E103" s="354"/>
      <c r="F103" s="354"/>
      <c r="G103" s="354"/>
      <c r="H103" s="354"/>
    </row>
    <row r="104" spans="1:8">
      <c r="A104" s="93">
        <f>ROWS($A$3:A102)</f>
        <v>100</v>
      </c>
      <c r="B104" s="63"/>
      <c r="C104" s="354"/>
      <c r="D104" s="354"/>
      <c r="E104" s="354"/>
      <c r="F104" s="354"/>
      <c r="G104" s="354"/>
      <c r="H104" s="354"/>
    </row>
    <row r="105" spans="1:8">
      <c r="A105" s="93">
        <f>ROWS($A$3:A103)</f>
        <v>101</v>
      </c>
      <c r="B105" s="63"/>
      <c r="C105" s="354"/>
      <c r="D105" s="354"/>
      <c r="E105" s="354"/>
      <c r="F105" s="354"/>
      <c r="G105" s="354"/>
      <c r="H105" s="354"/>
    </row>
    <row r="106" spans="1:8">
      <c r="A106" s="93">
        <f>ROWS($A$3:A104)</f>
        <v>102</v>
      </c>
      <c r="B106" s="63"/>
      <c r="C106" s="354"/>
      <c r="D106" s="354"/>
      <c r="E106" s="354"/>
      <c r="F106" s="354"/>
      <c r="G106" s="354"/>
      <c r="H106" s="354"/>
    </row>
    <row r="107" spans="1:8">
      <c r="A107" s="93">
        <f>ROWS($A$3:A105)</f>
        <v>103</v>
      </c>
      <c r="B107" s="63"/>
      <c r="C107" s="354"/>
      <c r="D107" s="354"/>
      <c r="E107" s="354"/>
      <c r="F107" s="354"/>
      <c r="G107" s="354"/>
      <c r="H107" s="354"/>
    </row>
    <row r="108" spans="1:8" ht="13.5" thickBot="1">
      <c r="A108" s="93">
        <f>ROWS($A$3:A106)</f>
        <v>104</v>
      </c>
      <c r="B108" s="64"/>
      <c r="C108" s="354"/>
      <c r="D108" s="354"/>
      <c r="E108" s="354"/>
      <c r="F108" s="354"/>
      <c r="G108" s="354"/>
      <c r="H108" s="354"/>
    </row>
    <row r="109" spans="1:8">
      <c r="B109" s="65"/>
    </row>
    <row r="110" spans="1:8">
      <c r="B110" s="83"/>
    </row>
    <row r="111" spans="1:8">
      <c r="B111" s="85"/>
    </row>
    <row r="112" spans="1:8">
      <c r="B112" s="85"/>
    </row>
    <row r="113" spans="2:2">
      <c r="B113" s="85"/>
    </row>
    <row r="114" spans="2:2">
      <c r="B114" s="84"/>
    </row>
    <row r="115" spans="2:2">
      <c r="B115" s="85"/>
    </row>
    <row r="116" spans="2:2">
      <c r="B116" s="85"/>
    </row>
    <row r="117" spans="2:2">
      <c r="B117" s="85"/>
    </row>
  </sheetData>
  <phoneticPr fontId="0" type="noConversion"/>
  <printOptions horizontalCentered="1"/>
  <pageMargins left="0.39370078740157483" right="0.39370078740157483" top="0.59055118110236227" bottom="0.59055118110236227" header="0.51181102362204722" footer="0.39370078740157483"/>
  <pageSetup paperSize="8" scale="85" orientation="portrait" r:id="rId1"/>
  <headerFooter alignWithMargins="0"/>
  <rowBreaks count="1" manualBreakCount="1">
    <brk id="64" min="1" max="7"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Arbeitsblätter</vt:lpstr>
      </vt:variant>
      <vt:variant>
        <vt:i4>10</vt:i4>
      </vt:variant>
      <vt:variant>
        <vt:lpstr>Benannte Bereiche</vt:lpstr>
      </vt:variant>
      <vt:variant>
        <vt:i4>27</vt:i4>
      </vt:variant>
    </vt:vector>
  </HeadingPairs>
  <TitlesOfParts>
    <vt:vector size="37" baseType="lpstr">
      <vt:lpstr>Deckblatt</vt:lpstr>
      <vt:lpstr>Strukturdaten</vt:lpstr>
      <vt:lpstr>Jahresvergleich</vt:lpstr>
      <vt:lpstr>2011</vt:lpstr>
      <vt:lpstr>2010</vt:lpstr>
      <vt:lpstr>2009</vt:lpstr>
      <vt:lpstr>2008</vt:lpstr>
      <vt:lpstr>2007</vt:lpstr>
      <vt:lpstr>2001</vt:lpstr>
      <vt:lpstr>Stand der Daten</vt:lpstr>
      <vt:lpstr>'2001'!Daten</vt:lpstr>
      <vt:lpstr>'2007'!Daten</vt:lpstr>
      <vt:lpstr>'2008'!Daten</vt:lpstr>
      <vt:lpstr>'2009'!Daten</vt:lpstr>
      <vt:lpstr>'2010'!Daten</vt:lpstr>
      <vt:lpstr>'Stand der Daten'!Daten</vt:lpstr>
      <vt:lpstr>Daten</vt:lpstr>
      <vt:lpstr>Daten2011</vt:lpstr>
      <vt:lpstr>'2001'!Druckbereich</vt:lpstr>
      <vt:lpstr>'2007'!Druckbereich</vt:lpstr>
      <vt:lpstr>'2008'!Druckbereich</vt:lpstr>
      <vt:lpstr>'2009'!Druckbereich</vt:lpstr>
      <vt:lpstr>'2010'!Druckbereich</vt:lpstr>
      <vt:lpstr>'2011'!Druckbereich</vt:lpstr>
      <vt:lpstr>Deckblatt!Druckbereich</vt:lpstr>
      <vt:lpstr>Jahresvergleich!Druckbereich</vt:lpstr>
      <vt:lpstr>'Stand der Daten'!Druckbereich</vt:lpstr>
      <vt:lpstr>Strukturdaten!Druckbereich</vt:lpstr>
      <vt:lpstr>'2001'!Drucktitel</vt:lpstr>
      <vt:lpstr>'2007'!Drucktitel</vt:lpstr>
      <vt:lpstr>'2008'!Drucktitel</vt:lpstr>
      <vt:lpstr>'2009'!Drucktitel</vt:lpstr>
      <vt:lpstr>'2010'!Drucktitel</vt:lpstr>
      <vt:lpstr>'2011'!Drucktitel</vt:lpstr>
      <vt:lpstr>Jahresvergleich!Drucktitel</vt:lpstr>
      <vt:lpstr>'Stand der Daten'!Drucktitel</vt:lpstr>
      <vt:lpstr>Strukturdaten!Drucktitel</vt:lpstr>
    </vt:vector>
  </TitlesOfParts>
  <Company>LEL Schwäbisch Gmünd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Strukturdaten 2011 zur Landwirtschaft in BW</dc:title>
  <dc:creator>Müller, Richard</dc:creator>
  <dc:description>Stand: 27.01.2012_x000d_
</dc:description>
  <cp:lastModifiedBy>Boga, Arzu (LEL-SG)</cp:lastModifiedBy>
  <cp:lastPrinted>2012-01-17T11:10:26Z</cp:lastPrinted>
  <dcterms:created xsi:type="dcterms:W3CDTF">2002-12-05T10:45:49Z</dcterms:created>
  <dcterms:modified xsi:type="dcterms:W3CDTF">2025-01-16T08:16:53Z</dcterms:modified>
</cp:coreProperties>
</file>